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90" yWindow="450" windowWidth="28590" windowHeight="13170" tabRatio="850" firstSheet="17" activeTab="22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'_CHECK_LIST'!$B$1:$H$68</definedName>
    <definedName name="_xlnm.Print_Area" localSheetId="20">'_FC-16_ESTAB_PRESUP'!$B$1:$H$58</definedName>
    <definedName name="_xlnm.Print_Area" localSheetId="0">'_GENERAL'!$B$1:$N$50</definedName>
    <definedName name="_xlnm.Print_Area" localSheetId="2">'FC-1_ORGANOS_GOBIERNO'!$B$1:$I$48</definedName>
    <definedName name="_xlnm.Print_Area" localSheetId="14">'FC-10_DEUDAS'!$B$1:$T$126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'FC-17_FINANCIACIÓN'!$B$1:$G$46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'FC-4_1_MOV_FP'!$B$1:$Q$63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<sst xmlns="http://schemas.openxmlformats.org/spreadsheetml/2006/main" count="2044" uniqueCount="1079">
  <si>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</si>
  <si>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</si>
  <si>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</si>
  <si>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</si>
  <si>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</si>
  <si>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</si>
  <si>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</si>
  <si>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</si>
  <si>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</si>
  <si>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</si>
  <si>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</si>
  <si>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</si>
  <si>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</si>
  <si>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</si>
  <si>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</si>
  <si>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</si>
  <si>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</si>
  <si>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</si>
  <si>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</si>
  <si>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</si>
  <si>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</si>
  <si>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</si>
  <si>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</si>
  <si>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</si>
  <si>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</si>
  <si>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</si>
  <si>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</si>
  <si>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</si>
  <si>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</si>
  <si>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</si>
  <si>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</si>
  <si>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</si>
  <si>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</si>
  <si>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</si>
  <si>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</si>
  <si>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</si>
  <si>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</si>
  <si>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</si>
  <si>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</si>
  <si>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</si>
  <si>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</si>
  <si>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</si>
  <si>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</si>
  <si>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</si>
  <si>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</si>
  <si>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</si>
  <si>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</si>
  <si>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</si>
  <si>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</si>
  <si>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</si>
  <si>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</si>
  <si>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</si>
  <si>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</si>
  <si>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</si>
  <si>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</si>
  <si>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</si>
  <si>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</si>
  <si>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</si>
  <si>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</si>
  <si>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</si>
  <si>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</si>
  <si>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</si>
  <si>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</si>
  <si>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</si>
  <si>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</si>
  <si>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</si>
  <si>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</si>
  <si>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</si>
  <si>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</si>
  <si>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</si>
  <si>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</si>
  <si>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</si>
  <si>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</si>
  <si>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</si>
  <si>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</si>
  <si>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</si>
  <si>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</si>
  <si>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</si>
  <si>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</si>
  <si>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</si>
  <si>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</si>
  <si>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</si>
  <si>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</si>
  <si>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</si>
  <si>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</si>
  <si>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</si>
  <si>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</si>
  <si>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</si>
  <si>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</si>
  <si>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</si>
  <si>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</si>
  <si>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</si>
  <si>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</si>
  <si>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</si>
  <si>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</si>
  <si>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</si>
  <si>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</si>
  <si>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</si>
  <si>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</si>
  <si>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</si>
  <si>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</si>
  <si>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</si>
  <si>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</si>
  <si>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</si>
  <si>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</si>
  <si>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</si>
  <si>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</si>
  <si>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</si>
  <si>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</si>
  <si>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</si>
  <si>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</si>
  <si>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</si>
  <si>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</si>
  <si>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</si>
  <si>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</si>
  <si>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</si>
  <si>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</si>
  <si>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</si>
  <si>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</si>
  <si>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</si>
  <si>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</si>
  <si>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</si>
  <si>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</si>
  <si>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</si>
  <si>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</si>
  <si>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</si>
  <si>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</si>
  <si>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</si>
  <si>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</si>
  <si>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</si>
  <si>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</si>
  <si>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</si>
  <si>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</si>
  <si>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</si>
  <si>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</si>
  <si>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</si>
  <si>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</si>
  <si>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</si>
  <si>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</si>
  <si>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</si>
  <si>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</si>
  <si>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</si>
  <si>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</si>
  <si>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</si>
  <si>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</si>
  <si>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</si>
  <si>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</si>
  <si>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</si>
  <si>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</si>
  <si>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</si>
  <si>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</si>
  <si>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</si>
  <si>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</si>
  <si>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</si>
  <si>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</si>
  <si>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</si>
  <si>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</si>
  <si>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</si>
  <si>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</si>
  <si>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</si>
  <si>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</si>
  <si>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</si>
  <si>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</si>
  <si>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</si>
  <si>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</si>
  <si>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</si>
  <si>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</si>
  <si>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</si>
  <si>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</si>
  <si>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</si>
  <si>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</si>
  <si>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</si>
  <si>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</si>
  <si>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</si>
  <si>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</si>
  <si>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</si>
  <si>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</si>
  <si>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</si>
  <si>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</si>
  <si>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</si>
  <si>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</si>
  <si>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</si>
  <si>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</si>
  <si>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</si>
  <si>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</si>
  <si>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</si>
  <si>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</si>
  <si>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</si>
  <si>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</si>
  <si>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</si>
  <si>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</si>
  <si>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</si>
  <si>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</si>
  <si>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</si>
  <si>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</si>
  <si>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</si>
  <si>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</si>
  <si>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</si>
  <si>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</si>
  <si>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</si>
  <si>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</si>
  <si>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</si>
  <si>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</si>
  <si>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</si>
  <si>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</si>
  <si>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</si>
  <si>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</si>
  <si>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</si>
  <si>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</si>
  <si>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</si>
  <si>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</si>
  <si>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</si>
  <si>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</si>
  <si>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</si>
  <si>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</si>
  <si>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</si>
  <si>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</si>
  <si>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</si>
  <si>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</si>
  <si>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</si>
  <si>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</si>
  <si>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</si>
  <si>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</si>
  <si>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</si>
  <si>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</si>
  <si>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</si>
  <si>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</si>
  <si>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</si>
  <si>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</si>
  <si>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</si>
  <si>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</si>
  <si>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</si>
  <si>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</si>
  <si>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</si>
  <si>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</si>
  <si>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</si>
  <si>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</si>
  <si>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</si>
  <si>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</si>
  <si>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</si>
  <si>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</si>
  <si>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</si>
  <si>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</si>
  <si>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</si>
  <si>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</si>
  <si>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</si>
  <si>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</si>
  <si>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</si>
  <si>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</si>
  <si>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</si>
  <si>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</si>
  <si>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</si>
  <si>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</si>
  <si>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</si>
  <si>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</si>
  <si>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</si>
  <si>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</si>
  <si>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</si>
  <si>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</si>
  <si>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</si>
  <si>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</si>
  <si>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</si>
  <si>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</si>
  <si>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</si>
  <si>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</si>
  <si>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</si>
  <si>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</si>
  <si>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</si>
  <si>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</si>
  <si>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</si>
  <si>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</si>
  <si>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</si>
  <si>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</si>
  <si>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</si>
  <si>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</si>
  <si>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</si>
  <si>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</si>
  <si>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</si>
  <si>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</si>
  <si>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</si>
  <si>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</si>
  <si>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</si>
  <si>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</si>
  <si>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</si>
  <si>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</si>
  <si>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</si>
  <si>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</si>
  <si>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</si>
  <si>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</si>
  <si>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</si>
  <si>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</si>
  <si>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</si>
  <si>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</si>
  <si>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</si>
  <si>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</si>
  <si>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</si>
  <si>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</si>
  <si>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</si>
  <si>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</si>
  <si>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</si>
  <si>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</si>
  <si>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</si>
  <si>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</si>
  <si>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</si>
  <si>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</si>
  <si>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</si>
  <si>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</si>
  <si>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</si>
  <si>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</si>
  <si>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</si>
  <si>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</si>
  <si>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</si>
  <si>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</si>
  <si>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</si>
  <si>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</si>
  <si>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</si>
  <si>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</si>
  <si>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</si>
  <si>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</si>
  <si>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</si>
  <si>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</si>
  <si>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</si>
  <si>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</si>
  <si>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</si>
  <si>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</si>
  <si>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</si>
  <si>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</si>
  <si>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</si>
  <si>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</si>
  <si>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</si>
  <si>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</si>
  <si>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</si>
  <si>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</si>
  <si>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</si>
  <si>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</si>
  <si>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</si>
  <si>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</si>
  <si>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</si>
  <si>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</si>
  <si>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</si>
  <si>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</si>
  <si>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</si>
  <si>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</si>
  <si>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</si>
  <si>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</si>
  <si>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</si>
  <si>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</si>
  <si>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</si>
  <si>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</si>
  <si>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</si>
  <si>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</si>
  <si>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</si>
  <si>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</si>
  <si>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</si>
  <si>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</si>
  <si>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</si>
  <si>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</si>
  <si>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</si>
  <si>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</si>
  <si>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</si>
  <si>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</si>
  <si>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</si>
  <si>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</si>
  <si>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</si>
  <si>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</si>
  <si>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</si>
  <si>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</si>
  <si>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</si>
  <si>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</si>
  <si>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</si>
  <si>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</si>
  <si>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</si>
  <si>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</si>
  <si>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</si>
  <si>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</si>
  <si>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</si>
  <si>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</si>
  <si>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</si>
  <si>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</si>
  <si>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</si>
  <si>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</si>
  <si>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</si>
  <si>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</si>
  <si>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</si>
  <si>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</si>
  <si>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</si>
  <si>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</si>
  <si>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</si>
  <si>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</si>
  <si>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</si>
  <si>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</si>
  <si>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</si>
  <si>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</si>
  <si>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</si>
  <si>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</si>
  <si>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</si>
  <si>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</si>
  <si>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</si>
  <si>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</si>
  <si>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</si>
  <si>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</si>
  <si>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</si>
  <si>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</si>
  <si>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</si>
  <si>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</si>
  <si>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</si>
  <si>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</si>
  <si>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</si>
  <si>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</si>
  <si>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</si>
  <si>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</si>
  <si>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</si>
  <si>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</si>
  <si>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</si>
  <si>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</si>
  <si>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</si>
  <si>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</si>
  <si>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</si>
  <si>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</si>
  <si>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</si>
  <si>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</si>
  <si>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</si>
  <si>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</si>
  <si>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</si>
  <si>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</si>
  <si>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</si>
  <si>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</si>
  <si>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</si>
  <si>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</si>
  <si>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</si>
  <si>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</si>
  <si>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</si>
  <si>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</si>
  <si>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</si>
  <si>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</si>
  <si>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</si>
  <si>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</si>
  <si>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</si>
  <si>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</si>
  <si>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</si>
  <si>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</si>
  <si>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</si>
  <si>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</si>
  <si>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</si>
  <si>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</si>
  <si>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</si>
  <si>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</si>
  <si>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</si>
  <si>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</si>
  <si>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</si>
  <si>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</si>
  <si>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</si>
  <si>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</si>
  <si>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</si>
  <si>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</si>
  <si>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</si>
  <si>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</si>
  <si>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</si>
  <si>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</si>
  <si>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</si>
  <si>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</si>
  <si>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</si>
  <si>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</si>
  <si>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</si>
  <si>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</si>
  <si>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</si>
  <si>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</si>
  <si>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</si>
  <si>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</si>
  <si>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</si>
  <si>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</si>
  <si>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</si>
  <si>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</si>
  <si>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</si>
  <si>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</si>
  <si>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</si>
  <si>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</si>
  <si>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</si>
  <si>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</si>
  <si>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</si>
  <si>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</si>
  <si>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</si>
  <si>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</si>
  <si>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</si>
  <si>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</si>
  <si>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</si>
  <si>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</si>
  <si>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</si>
  <si>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</si>
  <si>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</si>
  <si>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</si>
  <si>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</si>
  <si>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</si>
  <si>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</si>
  <si>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</si>
  <si>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</si>
  <si>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</si>
  <si>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</si>
  <si>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</si>
  <si>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</si>
  <si>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</si>
  <si>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</si>
  <si>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</si>
  <si>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</si>
  <si>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</si>
  <si>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</si>
  <si>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</si>
  <si>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</si>
  <si>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</si>
  <si>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</si>
  <si>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</si>
  <si>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</si>
  <si>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</si>
  <si>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</si>
  <si>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</si>
  <si>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</si>
  <si>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</si>
  <si>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</si>
  <si>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</si>
  <si>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</si>
  <si>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</si>
  <si>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</si>
  <si>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</si>
  <si>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</si>
  <si>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</si>
  <si>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</si>
  <si>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</si>
  <si>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</si>
  <si>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</si>
  <si>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</si>
  <si>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</si>
  <si>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</si>
  <si>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</si>
  <si>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</si>
  <si>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</si>
  <si>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</si>
  <si>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</si>
  <si>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</si>
  <si>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</si>
  <si>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</si>
  <si>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</si>
  <si>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</si>
  <si>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</si>
  <si>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</si>
  <si>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</si>
  <si>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</si>
  <si>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</si>
  <si>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</si>
  <si>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</si>
  <si>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</si>
  <si>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</si>
  <si>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</si>
  <si>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</si>
  <si>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</si>
  <si>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</si>
  <si>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</si>
  <si>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</si>
  <si>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</si>
  <si>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</si>
  <si>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</si>
  <si>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</si>
  <si>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</si>
  <si>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</si>
  <si>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</si>
  <si>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</si>
  <si>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</si>
  <si>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</si>
  <si>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</si>
  <si>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</si>
  <si>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</si>
  <si>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</si>
  <si>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</si>
  <si>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</si>
  <si>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</si>
  <si>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</si>
  <si>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</si>
  <si>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</si>
  <si>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</si>
  <si>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</si>
  <si>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</si>
  <si>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</si>
  <si>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</si>
  <si>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</si>
  <si>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</si>
  <si>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</si>
  <si>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</si>
  <si>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</si>
  <si>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</si>
  <si>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</si>
  <si>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</si>
  <si>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</si>
  <si>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</si>
  <si>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</si>
  <si>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</si>
  <si>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</si>
  <si>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</si>
  <si>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</si>
  <si>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</si>
  <si>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</si>
  <si>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</si>
  <si>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</si>
  <si>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</si>
  <si>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</si>
  <si>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</si>
  <si>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</si>
  <si>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</si>
  <si>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</si>
  <si>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</si>
  <si>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</si>
  <si>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</si>
  <si>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</si>
  <si>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</si>
  <si>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</si>
  <si>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</si>
  <si>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</si>
  <si>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</si>
  <si>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</si>
  <si>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</si>
  <si>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</si>
  <si>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</si>
  <si>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</si>
  <si>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</si>
  <si>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</si>
  <si>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</si>
  <si>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</si>
  <si>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</si>
  <si>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</si>
  <si>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</si>
  <si>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</si>
  <si>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</si>
  <si>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</si>
  <si>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</si>
  <si>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</si>
  <si>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</si>
  <si>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</si>
  <si>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</si>
  <si>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</si>
  <si>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</si>
  <si>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</si>
  <si>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</si>
  <si>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</si>
  <si>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</si>
  <si>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</si>
  <si>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</si>
  <si>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</si>
  <si>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</si>
  <si>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</si>
  <si>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</si>
  <si>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</si>
  <si>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</si>
  <si>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</si>
  <si>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</si>
  <si>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</si>
  <si>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</si>
  <si>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</si>
  <si>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</si>
  <si>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</si>
  <si>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</si>
  <si>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</si>
  <si>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</si>
  <si>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</si>
  <si>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</si>
  <si>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</si>
  <si>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</si>
  <si>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</si>
  <si>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</si>
  <si>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</si>
  <si>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</si>
  <si>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</si>
  <si>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</si>
  <si>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</si>
  <si>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</si>
  <si>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</si>
  <si>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</si>
  <si>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</si>
  <si>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</si>
  <si>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</si>
  <si>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</si>
  <si>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</si>
  <si>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</si>
  <si>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</si>
  <si>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</si>
  <si>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</si>
  <si>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</si>
  <si>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</si>
  <si>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</si>
  <si>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</si>
  <si>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</si>
  <si>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</si>
  <si>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</si>
  <si>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</si>
  <si>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</si>
  <si>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</si>
  <si>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</si>
  <si>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</si>
  <si>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</si>
  <si>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</si>
  <si>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</si>
  <si>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</si>
  <si>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</si>
  <si>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</si>
  <si>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</si>
  <si>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</si>
  <si>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</si>
  <si>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</si>
  <si>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</si>
  <si>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</si>
  <si>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</si>
  <si>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</si>
  <si>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</si>
  <si>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</si>
  <si>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</si>
  <si>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</si>
  <si>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</si>
  <si>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</si>
  <si>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</si>
  <si>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</si>
  <si>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</si>
  <si>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</si>
  <si>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</si>
  <si>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</si>
  <si>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</si>
  <si>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</si>
  <si>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</si>
  <si>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</si>
  <si>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</si>
  <si>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</si>
  <si>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</si>
  <si>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</si>
  <si>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</si>
  <si>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</si>
  <si>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</si>
  <si>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</si>
  <si>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</si>
  <si>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</si>
  <si>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</si>
  <si>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</si>
  <si>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</si>
  <si>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</si>
  <si>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</si>
  <si>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</si>
  <si>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</si>
  <si>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</si>
  <si>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</si>
  <si>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</si>
  <si>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</si>
  <si>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</si>
  <si>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</si>
  <si>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</si>
  <si>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</si>
  <si>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</si>
  <si>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</si>
  <si>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</si>
  <si>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</si>
  <si>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</si>
  <si>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</si>
  <si>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</si>
  <si>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</si>
  <si>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</si>
  <si>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</si>
  <si>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</si>
  <si>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</si>
  <si>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</si>
  <si>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</si>
  <si>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</si>
  <si>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</si>
  <si>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</si>
  <si>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</si>
  <si>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</si>
  <si>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</si>
  <si>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</si>
  <si>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</si>
  <si>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</si>
  <si>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</si>
  <si>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</si>
  <si>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</si>
  <si>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</si>
  <si>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</si>
  <si>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</si>
  <si>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</si>
  <si>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</si>
  <si>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</si>
  <si>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</si>
  <si>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</si>
  <si>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</si>
  <si>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</si>
  <si>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</si>
  <si>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</si>
  <si>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</si>
  <si>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</si>
  <si>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</si>
  <si>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</si>
  <si>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</si>
  <si>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</si>
  <si>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</si>
  <si>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</si>
  <si>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</si>
  <si>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</si>
  <si>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</si>
  <si>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</si>
  <si>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</si>
  <si>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</si>
  <si>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</si>
  <si>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</si>
  <si>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</si>
  <si>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</si>
  <si>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</si>
  <si>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</si>
  <si>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</si>
  <si>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</si>
  <si>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</si>
  <si>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</si>
  <si>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</si>
  <si>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</si>
  <si>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</si>
  <si>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</si>
  <si>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</si>
  <si>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</si>
  <si>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</si>
  <si>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</si>
  <si>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</si>
  <si>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</si>
  <si>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</si>
  <si>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</si>
  <si>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</si>
  <si>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</si>
  <si>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</si>
  <si>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</si>
  <si>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</si>
  <si>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</si>
  <si>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</si>
  <si>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</si>
  <si>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</si>
  <si>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</si>
  <si>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</si>
  <si>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</si>
  <si>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</si>
  <si>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</si>
  <si>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</si>
  <si>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</si>
  <si>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</si>
  <si>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</si>
  <si>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</si>
  <si>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</si>
  <si>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</si>
  <si>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</si>
  <si>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</si>
  <si>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</si>
  <si>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</si>
  <si>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</si>
  <si>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</si>
  <si>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</si>
  <si>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</si>
  <si>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</si>
  <si>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</si>
  <si>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</si>
  <si>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</si>
  <si>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</si>
  <si>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</si>
  <si>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</si>
  <si>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</si>
  <si>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</si>
  <si>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</si>
  <si>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</si>
  <si>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</si>
  <si>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</si>
  <si>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</si>
  <si>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</si>
  <si>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</si>
  <si>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</si>
  <si>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</si>
  <si>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</si>
  <si>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</si>
  <si>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</si>
  <si>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</si>
  <si>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</si>
  <si>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</si>
  <si>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</si>
  <si>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</si>
  <si>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</si>
  <si>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</si>
  <si>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</si>
  <si>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</si>
  <si>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</si>
  <si>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</si>
  <si>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</si>
  <si>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</si>
  <si>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</si>
  <si>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</si>
  <si>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</si>
  <si>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</si>
  <si>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</si>
  <si>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</si>
  <si>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</si>
  <si>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</si>
  <si>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</si>
  <si>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</si>
  <si>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</si>
  <si>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</si>
  <si>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</si>
  <si>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</si>
  <si>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</si>
  <si>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</si>
  <si>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</si>
  <si>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</si>
  <si>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</si>
  <si>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</si>
  <si>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</si>
  <si>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</si>
  <si>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</si>
  <si>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</si>
  <si>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</si>
  <si>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</si>
  <si>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</si>
  <si>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</si>
  <si>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</si>
  <si>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</si>
  <si>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</si>
  <si>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</si>
  <si>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</si>
  <si>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</si>
  <si>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</si>
  <si>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</si>
  <si>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</si>
  <si>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</si>
  <si>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</si>
  <si>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</si>
  <si>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</si>
  <si>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</si>
  <si>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</si>
  <si>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</si>
  <si>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</si>
  <si>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</si>
  <si>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</si>
  <si>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</si>
  <si>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</si>
  <si>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</si>
  <si>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</si>
  <si>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</si>
  <si>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</si>
  <si>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</si>
  <si>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</si>
  <si>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</si>
  <si>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</si>
  <si>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</si>
  <si>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</si>
  <si>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</si>
  <si>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</si>
  <si>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</si>
  <si>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</si>
  <si>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</si>
  <si>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</si>
  <si>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</si>
  <si>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</si>
  <si>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</si>
  <si>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</si>
  <si>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</si>
  <si>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</si>
  <si>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</si>
  <si>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</si>
  <si>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</si>
  <si>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</si>
  <si>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</si>
  <si>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</si>
  <si>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</si>
  <si>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</si>
  <si>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</si>
  <si>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</si>
  <si>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</si>
  <si>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</si>
  <si>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</si>
  <si>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</si>
  <si>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</si>
  <si>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</si>
  <si>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</si>
  <si>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</si>
  <si>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</si>
  <si>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</si>
  <si>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</si>
  <si>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</si>
  <si>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</si>
  <si>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</si>
  <si>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</si>
  <si>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</si>
  <si>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</si>
  <si>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</si>
  <si>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</si>
  <si>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</si>
  <si>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</si>
  <si>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</si>
  <si>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</si>
  <si>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</si>
  <si>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</si>
  <si>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</si>
  <si>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</si>
  <si>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</si>
  <si>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</si>
  <si>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</si>
  <si>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</si>
  <si>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</si>
  <si>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</si>
  <si>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</si>
  <si>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</si>
  <si>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</si>
  <si>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</si>
  <si>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</si>
  <si>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</si>
  <si>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</si>
  <si>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</si>
  <si>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</si>
  <si>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</si>
  <si>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</si>
  <si>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</si>
  <si>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</si>
  <si>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</si>
  <si>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</si>
  <si>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</si>
  <si>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</si>
  <si>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</si>
  <si>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</si>
  <si>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</si>
  <si>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</si>
  <si>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</si>
  <si>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</si>
  <si>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</si>
  <si>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</si>
  <si>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</si>
  <si>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</si>
  <si>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</si>
  <si>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</si>
  <si>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</si>
  <si>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</si>
  <si>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</si>
  <si>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</si>
  <si>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</si>
  <si>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</si>
  <si>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</si>
  <si>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</si>
  <si>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</si>
  <si>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</si>
  <si>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</si>
  <si>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</si>
  <si>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</si>
  <si>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</si>
  <si>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</si>
  <si>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</si>
  <si>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</si>
  <si>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</si>
  <si>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</si>
  <si>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</si>
  <si>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</si>
  <si>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</si>
  <si>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</si>
  <si>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</si>
  <si>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</si>
  <si>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</si>
  <si>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</si>
  <si>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GESTIÓN INSULAR DE AGUAS DE TENERIFE, S.A</t>
  </si>
  <si>
    <t>Consejo Insular de Aguas de Tenerife</t>
  </si>
  <si>
    <t>A  otras Administraciones Públicas Locales</t>
  </si>
  <si>
    <t>Resolución anticipada renting Northgate</t>
  </si>
  <si>
    <t>Q8850002J</t>
  </si>
  <si>
    <t>-</t>
  </si>
  <si>
    <t>CANAUDIT, S.L.</t>
  </si>
  <si>
    <t>Miguel Fortes Carrillo</t>
  </si>
  <si>
    <t>Uso oficinas del CIATF</t>
  </si>
  <si>
    <t>CIATF</t>
  </si>
  <si>
    <t>Aportación genérica</t>
  </si>
  <si>
    <t>Se trata del uso gratuito de las ofciinas del CIATF</t>
  </si>
  <si>
    <t>Ana Sánchez Espadas</t>
  </si>
  <si>
    <t>El secretario</t>
  </si>
  <si>
    <t>D. Pedro M. Martín Domínguez</t>
  </si>
  <si>
    <t>D. Javier Rodríguez Medina</t>
  </si>
  <si>
    <t>Vacante</t>
  </si>
  <si>
    <t>D. Carlos E. Alonso Rodríguez</t>
  </si>
  <si>
    <t>Dña. Zaida González Rodríguez</t>
  </si>
  <si>
    <t>D. José David Carballo Ceballos</t>
  </si>
  <si>
    <t>Ajustado gasto de arrendamiento por cesión gratuita de oficinas en CIATFE</t>
  </si>
  <si>
    <t>Cesión gratuita de oficina en CIATF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</si>
</sst>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2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1104900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1104900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view="pageBreakPreview" zoomScale="60" zoomScaleNormal="108" zoomScalePageLayoutView="0" workbookViewId="0" topLeftCell="A1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1002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9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9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40" t="s">
        <v>1057</v>
      </c>
      <c r="E13" s="1341"/>
      <c r="F13" s="1341"/>
      <c r="G13" s="1341"/>
      <c r="H13" s="1341"/>
      <c r="I13" s="1341"/>
      <c r="J13" s="1341"/>
      <c r="K13" s="1341"/>
      <c r="L13" s="1341"/>
      <c r="M13" s="1342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40" t="s">
        <v>944</v>
      </c>
      <c r="E14" s="1341"/>
      <c r="F14" s="1342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1015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view="pageBreakPreview" zoomScale="60" zoomScalePageLayoutView="0" workbookViewId="0" topLeftCell="A16">
      <selection activeCell="E36" sqref="E3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9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9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-51456.68000000058</v>
      </c>
      <c r="G16" s="554">
        <f>'FC-3_CPyG'!F76</f>
        <v>-55425.75433333304</v>
      </c>
      <c r="H16" s="554">
        <f>'FC-3_CPyG'!G76</f>
        <v>-49899.83999999998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-51456.68000000058</v>
      </c>
      <c r="G42" s="399">
        <f>G16+G17+G29+G36</f>
        <v>-55425.75433333304</v>
      </c>
      <c r="H42" s="399">
        <f>H16+H17+H29+H36</f>
        <v>-49899.83999999998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-51456.68000000058</v>
      </c>
      <c r="G92" s="399">
        <f>+G42+G63+G88+G90</f>
        <v>-55425.75433333304</v>
      </c>
      <c r="H92" s="399">
        <f>+H42+H63+H88+H90</f>
        <v>-49899.83999999998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287718.29</v>
      </c>
      <c r="H94" s="403">
        <f>+G95</f>
        <v>96393.3</v>
      </c>
      <c r="I94" s="49"/>
      <c r="K94" s="1238"/>
      <c r="L94" s="1239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287718.29</v>
      </c>
      <c r="G95" s="399">
        <f>+'FC-4_ACTIVO'!F90</f>
        <v>96393.3</v>
      </c>
      <c r="H95" s="399">
        <f>+'FC-4_ACTIVO'!G90</f>
        <v>106511.09</v>
      </c>
      <c r="I95" s="49"/>
      <c r="K95" s="1238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2"/>
      <c r="D100" s="1352"/>
      <c r="E100" s="1352"/>
      <c r="F100" s="1352"/>
      <c r="G100" s="1352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view="pageBreakPreview" zoomScale="60" zoomScaleNormal="84" zoomScalePageLayoutView="0" workbookViewId="0" topLeftCell="A46">
      <selection activeCell="G52" sqref="G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9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9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353"/>
      <c r="R9" s="1353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3" t="s">
        <v>738</v>
      </c>
      <c r="J13" s="1404"/>
      <c r="K13" s="1404"/>
      <c r="L13" s="1404"/>
      <c r="M13" s="1405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5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6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6" t="s">
        <v>384</v>
      </c>
      <c r="D46" s="1407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2"/>
      <c r="D55" s="1352"/>
      <c r="E55" s="1352"/>
      <c r="F55" s="13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view="pageBreakPreview" zoomScale="60" zoomScaleNormal="94" zoomScalePageLayoutView="125" workbookViewId="0" topLeftCell="A22">
      <selection activeCell="F22" sqref="F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9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9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8"/>
      <c r="D13" s="1409"/>
      <c r="E13" s="197" t="s">
        <v>406</v>
      </c>
      <c r="F13" s="1412" t="s">
        <v>396</v>
      </c>
      <c r="G13" s="1413"/>
      <c r="H13" s="1413"/>
      <c r="I13" s="1413"/>
      <c r="J13" s="1413"/>
      <c r="K13" s="1413"/>
      <c r="L13" s="1414"/>
      <c r="M13" s="197" t="s">
        <v>407</v>
      </c>
      <c r="N13" s="197"/>
      <c r="O13" s="1410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11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f>'FC-4_ACTIVO'!E22</f>
        <v>3211.08</v>
      </c>
      <c r="F15" s="482">
        <v>170.85</v>
      </c>
      <c r="G15" s="483"/>
      <c r="H15" s="483"/>
      <c r="I15" s="483">
        <v>-1852.18</v>
      </c>
      <c r="J15" s="483"/>
      <c r="K15" s="483"/>
      <c r="L15" s="484"/>
      <c r="M15" s="172">
        <f>SUM(E15:L15)</f>
        <v>1529.7499999999998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9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f>'FC-4_ACTIVO'!E28</f>
        <v>24153.019999999997</v>
      </c>
      <c r="F17" s="486">
        <v>139.8</v>
      </c>
      <c r="G17" s="487"/>
      <c r="H17" s="487"/>
      <c r="I17" s="487">
        <v>-7206.62</v>
      </c>
      <c r="J17" s="487"/>
      <c r="K17" s="487"/>
      <c r="L17" s="488"/>
      <c r="M17" s="176">
        <f>SUM(E17:L17)</f>
        <v>17086.199999999997</v>
      </c>
      <c r="N17" s="1299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9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0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27364.1</v>
      </c>
      <c r="F20" s="175">
        <f aca="true" t="shared" si="0" ref="F20:N20">SUM(F15:F19)</f>
        <v>310.65</v>
      </c>
      <c r="G20" s="175">
        <f t="shared" si="0"/>
        <v>0</v>
      </c>
      <c r="H20" s="175">
        <f t="shared" si="0"/>
        <v>0</v>
      </c>
      <c r="I20" s="175">
        <f t="shared" si="0"/>
        <v>-9058.8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18615.949999999997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f>'FC-4_ACTIVO'!E57+'FC-4_ACTIVO'!E60</f>
        <v>7075296.4799999995</v>
      </c>
      <c r="F22" s="557">
        <f>'FC-3_CPyG'!F17-E22</f>
        <v>1902693.9400000004</v>
      </c>
      <c r="G22" s="558"/>
      <c r="H22" s="558"/>
      <c r="I22" s="558"/>
      <c r="J22" s="558"/>
      <c r="K22" s="558">
        <f>-E22-F22</f>
        <v>-8977990.42</v>
      </c>
      <c r="L22" s="559"/>
      <c r="M22" s="175">
        <f>SUM(E22:L22)</f>
        <v>0</v>
      </c>
      <c r="N22" s="1296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8"/>
      <c r="D24" s="1409"/>
      <c r="E24" s="197" t="s">
        <v>406</v>
      </c>
      <c r="F24" s="1412" t="s">
        <v>396</v>
      </c>
      <c r="G24" s="1413"/>
      <c r="H24" s="1413"/>
      <c r="I24" s="1413"/>
      <c r="J24" s="1413"/>
      <c r="K24" s="1413"/>
      <c r="L24" s="1414"/>
      <c r="M24" s="197" t="s">
        <v>407</v>
      </c>
      <c r="N24" s="197"/>
      <c r="O24" s="1410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11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1529.7499999999998</v>
      </c>
      <c r="F26" s="482"/>
      <c r="G26" s="483"/>
      <c r="H26" s="483"/>
      <c r="I26" s="483">
        <v>-1360.09</v>
      </c>
      <c r="J26" s="483"/>
      <c r="K26" s="483"/>
      <c r="L26" s="484"/>
      <c r="M26" s="172">
        <f>SUM(E26:L26)</f>
        <v>169.65999999999985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9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17086.199999999997</v>
      </c>
      <c r="F28" s="486"/>
      <c r="G28" s="487"/>
      <c r="H28" s="487"/>
      <c r="I28" s="487">
        <v>-7210</v>
      </c>
      <c r="J28" s="487"/>
      <c r="K28" s="487"/>
      <c r="L28" s="488"/>
      <c r="M28" s="176">
        <f>SUM(E28:L28)</f>
        <v>9876.199999999997</v>
      </c>
      <c r="N28" s="1299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9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0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18615.949999999997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-8570.09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10045.859999999997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6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2"/>
      <c r="D47" s="1352"/>
      <c r="E47" s="1352"/>
      <c r="F47" s="1352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view="pageBreakPreview" zoomScale="60" zoomScaleNormal="81" zoomScalePageLayoutView="125" workbookViewId="0" topLeftCell="A1">
      <selection activeCell="C63" sqref="C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9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9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353"/>
      <c r="K9" s="1353"/>
      <c r="L9" s="1353"/>
      <c r="M9" s="1353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2" t="s">
        <v>396</v>
      </c>
      <c r="H15" s="1413"/>
      <c r="I15" s="1413"/>
      <c r="J15" s="197" t="s">
        <v>407</v>
      </c>
      <c r="K15" s="197" t="s">
        <v>416</v>
      </c>
      <c r="L15" s="197" t="s">
        <v>417</v>
      </c>
      <c r="M15" s="1410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1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4" t="s">
        <v>418</v>
      </c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1"/>
      <c r="D18" s="1422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5"/>
      <c r="D19" s="1416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5"/>
      <c r="D20" s="1416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5"/>
      <c r="D21" s="1416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5"/>
      <c r="D22" s="1416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5"/>
      <c r="D23" s="1416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5" t="s">
        <v>419</v>
      </c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1"/>
      <c r="D27" s="1426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19"/>
      <c r="D28" s="1420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19"/>
      <c r="D29" s="1420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19"/>
      <c r="D30" s="1420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5"/>
      <c r="D31" s="1416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5"/>
      <c r="D32" s="1416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7"/>
      <c r="D33" s="1418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2" t="s">
        <v>396</v>
      </c>
      <c r="H39" s="1413"/>
      <c r="I39" s="1413"/>
      <c r="J39" s="197" t="s">
        <v>407</v>
      </c>
      <c r="K39" s="197" t="s">
        <v>416</v>
      </c>
      <c r="L39" s="197" t="s">
        <v>417</v>
      </c>
      <c r="M39" s="1410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1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4" t="s">
        <v>422</v>
      </c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1"/>
      <c r="D42" s="1422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5"/>
      <c r="D43" s="1416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5"/>
      <c r="D44" s="1416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5"/>
      <c r="D45" s="1416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5"/>
      <c r="D46" s="1416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5"/>
      <c r="D47" s="1416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7"/>
      <c r="D48" s="1418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5" t="s">
        <v>423</v>
      </c>
      <c r="D50" s="1425"/>
      <c r="E50" s="1425"/>
      <c r="F50" s="1425"/>
      <c r="G50" s="1425"/>
      <c r="H50" s="1425"/>
      <c r="I50" s="1425"/>
      <c r="J50" s="1425"/>
      <c r="K50" s="1425"/>
      <c r="L50" s="1425"/>
      <c r="M50" s="1425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9"/>
      <c r="D51" s="1420"/>
      <c r="E51" s="833"/>
      <c r="F51" s="493"/>
      <c r="G51" s="494"/>
      <c r="H51" s="494"/>
      <c r="I51" s="494"/>
      <c r="J51" s="184">
        <f aca="true" t="shared" si="3" ref="J51:J57">SUM(F51:I51)</f>
        <v>0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9"/>
      <c r="D52" s="1420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5"/>
      <c r="D53" s="1416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5"/>
      <c r="D54" s="1416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5"/>
      <c r="D55" s="1416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5"/>
      <c r="D56" s="1416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7"/>
      <c r="D57" s="1418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2"/>
      <c r="D71" s="1352"/>
      <c r="E71" s="1352"/>
      <c r="F71" s="1352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view="pageBreakPreview" zoomScale="60" zoomScalePageLayoutView="125" workbookViewId="0" topLeftCell="A67">
      <selection activeCell="J56" sqref="J5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9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9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7"/>
      <c r="D15" s="1428"/>
      <c r="E15" s="946"/>
      <c r="F15" s="1440" t="s">
        <v>816</v>
      </c>
      <c r="G15" s="1441"/>
      <c r="H15" s="1441"/>
      <c r="I15" s="1441"/>
      <c r="J15" s="1441"/>
      <c r="K15" s="1442"/>
      <c r="L15" s="1437" t="s">
        <v>814</v>
      </c>
      <c r="M15" s="1436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49" t="s">
        <v>779</v>
      </c>
      <c r="D16" s="1450"/>
      <c r="E16" s="947"/>
      <c r="F16" s="948" t="s">
        <v>813</v>
      </c>
      <c r="G16" s="1431">
        <f>ejercicio-1</f>
        <v>2019</v>
      </c>
      <c r="H16" s="1432"/>
      <c r="I16" s="949" t="s">
        <v>813</v>
      </c>
      <c r="J16" s="1431">
        <f>ejercicio</f>
        <v>2020</v>
      </c>
      <c r="K16" s="1432"/>
      <c r="L16" s="1438" t="s">
        <v>815</v>
      </c>
      <c r="M16" s="1439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3" t="s">
        <v>780</v>
      </c>
      <c r="D17" s="1444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5" t="s">
        <v>388</v>
      </c>
      <c r="D19" s="1446"/>
      <c r="E19" s="1446"/>
      <c r="F19" s="943">
        <f>G19+H19</f>
        <v>0</v>
      </c>
      <c r="G19" s="510"/>
      <c r="H19" s="931"/>
      <c r="I19" s="943">
        <f>+J19+K19</f>
        <v>0</v>
      </c>
      <c r="J19" s="510">
        <f>G34</f>
        <v>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/>
      <c r="D21" s="561"/>
      <c r="E21" s="1229"/>
      <c r="F21" s="924"/>
      <c r="G21" s="482"/>
      <c r="H21" s="932"/>
      <c r="I21" s="888"/>
      <c r="J21" s="888"/>
      <c r="K21" s="938"/>
      <c r="L21" s="888"/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0</v>
      </c>
      <c r="G31" s="674">
        <f t="shared" si="0"/>
        <v>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7" t="s">
        <v>440</v>
      </c>
      <c r="D33" s="1448"/>
      <c r="E33" s="1448"/>
      <c r="F33" s="943">
        <f>G33+H33</f>
        <v>0</v>
      </c>
      <c r="G33" s="921"/>
      <c r="H33" s="937"/>
      <c r="I33" s="943">
        <f>+J33+K33</f>
        <v>0</v>
      </c>
      <c r="J33" s="921"/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0</v>
      </c>
      <c r="G34" s="674">
        <f>+G19+G31+G33</f>
        <v>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7" t="s">
        <v>779</v>
      </c>
      <c r="D37" s="1428"/>
      <c r="E37" s="1435" t="s">
        <v>434</v>
      </c>
      <c r="F37" s="1436"/>
      <c r="G37" s="1433" t="s">
        <v>786</v>
      </c>
      <c r="H37" s="1434"/>
      <c r="I37" s="1433" t="s">
        <v>787</v>
      </c>
      <c r="J37" s="1434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3" t="s">
        <v>780</v>
      </c>
      <c r="D38" s="1444"/>
      <c r="E38" s="1429" t="s">
        <v>1008</v>
      </c>
      <c r="F38" s="1430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1"/>
      <c r="V38" s="126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 t="s">
        <v>1065</v>
      </c>
      <c r="D39" s="561"/>
      <c r="E39" s="1252" t="s">
        <v>274</v>
      </c>
      <c r="F39" s="1336" t="s">
        <v>1066</v>
      </c>
      <c r="G39" s="482">
        <v>10416.6</v>
      </c>
      <c r="H39" s="515">
        <v>10416.6</v>
      </c>
      <c r="I39" s="888">
        <v>0</v>
      </c>
      <c r="J39" s="888">
        <v>0</v>
      </c>
      <c r="K39" s="837"/>
      <c r="L39" s="837"/>
      <c r="M39" s="838"/>
      <c r="N39" s="920"/>
      <c r="O39" s="920"/>
      <c r="P39" s="920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/>
      <c r="D40" s="1251"/>
      <c r="E40" s="1252"/>
      <c r="F40" s="1262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/>
      <c r="D41" s="1251"/>
      <c r="E41" s="1252"/>
      <c r="F41" s="1262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2"/>
      <c r="F42" s="1253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3"/>
      <c r="G43" s="1257"/>
      <c r="H43" s="515"/>
      <c r="I43" s="1258"/>
      <c r="J43" s="1258"/>
      <c r="K43" s="1259"/>
      <c r="L43" s="1259"/>
      <c r="M43" s="1260"/>
      <c r="N43" s="920"/>
      <c r="O43" s="920"/>
      <c r="P43" s="920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2"/>
      <c r="F44" s="1254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2"/>
      <c r="F45" s="1254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6"/>
      <c r="F46" s="1255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3" t="s">
        <v>439</v>
      </c>
      <c r="D47" s="1454"/>
      <c r="E47" s="1454"/>
      <c r="F47" s="1455"/>
      <c r="G47" s="175">
        <f>SUM(G39:G46)</f>
        <v>10416.6</v>
      </c>
      <c r="H47" s="175">
        <f>SUM(H39:H46)</f>
        <v>10416.6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3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7" t="s">
        <v>779</v>
      </c>
      <c r="D51" s="1428"/>
      <c r="E51" s="1435"/>
      <c r="F51" s="1436"/>
      <c r="G51" s="1433" t="s">
        <v>788</v>
      </c>
      <c r="H51" s="1434"/>
      <c r="I51" s="1433" t="s">
        <v>789</v>
      </c>
      <c r="J51" s="1434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3" t="s">
        <v>780</v>
      </c>
      <c r="D52" s="1444"/>
      <c r="E52" s="1431" t="s">
        <v>434</v>
      </c>
      <c r="F52" s="1439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 t="s">
        <v>1067</v>
      </c>
      <c r="D53" s="561"/>
      <c r="E53" s="1451" t="s">
        <v>1058</v>
      </c>
      <c r="F53" s="1452"/>
      <c r="G53" s="482">
        <f>'FC-4_1_MOV_FP'!H30</f>
        <v>49899.84</v>
      </c>
      <c r="H53" s="511">
        <f>'FC-4_1_MOV_FP'!H52</f>
        <v>49899.83999999998</v>
      </c>
      <c r="I53" s="888">
        <f>G53</f>
        <v>49899.84</v>
      </c>
      <c r="J53" s="888">
        <f>H53</f>
        <v>49899.83999999998</v>
      </c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6"/>
      <c r="F54" s="1457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8"/>
      <c r="F55" s="1459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8"/>
      <c r="F56" s="1459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8"/>
      <c r="F57" s="1459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8"/>
      <c r="F58" s="1459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6"/>
      <c r="F59" s="1457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6"/>
      <c r="F60" s="1457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6"/>
      <c r="F61" s="1457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0"/>
      <c r="F62" s="1461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3" t="s">
        <v>439</v>
      </c>
      <c r="D63" s="1454"/>
      <c r="E63" s="1454"/>
      <c r="F63" s="1455"/>
      <c r="G63" s="175">
        <f>SUM(G53:G62)</f>
        <v>49899.84</v>
      </c>
      <c r="H63" s="175">
        <f>SUM(H53:H62)</f>
        <v>49899.83999999998</v>
      </c>
      <c r="I63" s="175">
        <f>SUM(I53:I62)</f>
        <v>49899.84</v>
      </c>
      <c r="J63" s="175">
        <f>SUM(J53:J62)</f>
        <v>49899.83999999998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2" t="s">
        <v>779</v>
      </c>
      <c r="D66" s="1414"/>
      <c r="E66" s="1433" t="s">
        <v>434</v>
      </c>
      <c r="F66" s="1434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6"/>
      <c r="F67" s="1457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6"/>
      <c r="F68" s="1457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6"/>
      <c r="F69" s="1457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6"/>
      <c r="F70" s="1457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6"/>
      <c r="F71" s="1457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6"/>
      <c r="F72" s="1457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6"/>
      <c r="F73" s="1457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6"/>
      <c r="F74" s="1457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6"/>
      <c r="F75" s="1457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6"/>
      <c r="F76" s="1457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3" t="s">
        <v>803</v>
      </c>
      <c r="D77" s="1454"/>
      <c r="E77" s="1454"/>
      <c r="F77" s="1455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2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3" t="s">
        <v>795</v>
      </c>
      <c r="D91" s="1282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3" t="s">
        <v>793</v>
      </c>
      <c r="D92" s="1282"/>
      <c r="E92" s="696"/>
      <c r="F92" s="696"/>
      <c r="G92" s="1281">
        <f>ejercicio-1</f>
        <v>2019</v>
      </c>
      <c r="H92" s="696" t="s">
        <v>794</v>
      </c>
      <c r="I92" s="696"/>
      <c r="J92" s="696"/>
      <c r="K92" s="1281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3" t="s">
        <v>797</v>
      </c>
      <c r="D93" s="1282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2" t="s">
        <v>796</v>
      </c>
      <c r="D94" s="1282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3" t="s">
        <v>798</v>
      </c>
      <c r="D95" s="1282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2" t="s">
        <v>784</v>
      </c>
      <c r="D96" s="1282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2" t="s">
        <v>804</v>
      </c>
      <c r="D97" s="1282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2" t="s">
        <v>785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3" t="s">
        <v>799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3" t="s">
        <v>806</v>
      </c>
      <c r="D100" s="1282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2" t="s">
        <v>790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3" t="s">
        <v>800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89" customFormat="1" ht="18">
      <c r="B103" s="1284"/>
      <c r="C103" s="1285" t="s">
        <v>805</v>
      </c>
      <c r="D103" s="1286"/>
      <c r="E103" s="1287"/>
      <c r="F103" s="1287"/>
      <c r="G103" s="1287"/>
      <c r="H103" s="1287"/>
      <c r="I103" s="1287"/>
      <c r="J103" s="1287"/>
      <c r="K103" s="1287"/>
      <c r="L103" s="1287"/>
      <c r="M103" s="1287"/>
      <c r="N103" s="1287"/>
      <c r="O103" s="1287"/>
      <c r="P103" s="1288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2" t="s">
        <v>791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3" t="s">
        <v>801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2" t="s">
        <v>792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6"/>
      <c r="D107" s="1346"/>
      <c r="E107" s="1346"/>
      <c r="F107" s="1346"/>
      <c r="G107" s="1346"/>
      <c r="H107" s="1268"/>
      <c r="I107" s="1268"/>
      <c r="J107" s="1268"/>
      <c r="K107" s="1268"/>
      <c r="L107" s="1268"/>
      <c r="M107" s="1268"/>
      <c r="N107" s="1268"/>
      <c r="O107" s="1268"/>
      <c r="P107" s="1269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0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view="pageBreakPreview" zoomScale="60" zoomScaleNormal="110" zoomScalePageLayoutView="125" workbookViewId="0" topLeftCell="C97">
      <selection activeCell="D2" sqref="D2:D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5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5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47" t="str">
        <f>Entidad</f>
        <v>GESTIÓN INSULAR DE AGUAS DE TENERIFE, S.A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989</v>
      </c>
      <c r="O16" s="994" t="s">
        <v>990</v>
      </c>
      <c r="P16" s="997" t="s">
        <v>991</v>
      </c>
      <c r="Q16" s="994" t="s">
        <v>667</v>
      </c>
      <c r="R16" s="1462" t="s">
        <v>992</v>
      </c>
      <c r="S16" s="1463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988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 aca="true" t="shared" si="0" ref="Q19:Q42"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t="shared" si="0"/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4" t="s">
        <v>471</v>
      </c>
      <c r="I43" s="1465"/>
      <c r="J43" s="1466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989</v>
      </c>
      <c r="O48" s="994" t="s">
        <v>990</v>
      </c>
      <c r="P48" s="997" t="s">
        <v>991</v>
      </c>
      <c r="Q48" s="994" t="s">
        <v>667</v>
      </c>
      <c r="R48" s="1462" t="s">
        <v>992</v>
      </c>
      <c r="S48" s="1463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988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/>
      <c r="D50" s="956"/>
      <c r="E50" s="578"/>
      <c r="F50" s="578"/>
      <c r="G50" s="1231"/>
      <c r="H50" s="578"/>
      <c r="I50" s="1232"/>
      <c r="J50" s="789"/>
      <c r="K50" s="586"/>
      <c r="L50" s="586"/>
      <c r="M50" s="790"/>
      <c r="N50" s="790"/>
      <c r="O50" s="790"/>
      <c r="P50" s="719"/>
      <c r="Q50" s="1011">
        <f>L50+M50-N50</f>
        <v>0</v>
      </c>
      <c r="R50" s="849"/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/>
      <c r="D51" s="956"/>
      <c r="E51" s="578"/>
      <c r="F51" s="578"/>
      <c r="G51" s="1231"/>
      <c r="H51" s="1232"/>
      <c r="I51" s="1232"/>
      <c r="J51" s="1232"/>
      <c r="K51" s="586"/>
      <c r="L51" s="586"/>
      <c r="M51" s="586"/>
      <c r="N51" s="586"/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4" t="s">
        <v>471</v>
      </c>
      <c r="I75" s="1465"/>
      <c r="J75" s="1466"/>
      <c r="K75" s="1005">
        <f>SUM(K50:K74)</f>
        <v>0</v>
      </c>
      <c r="L75" s="1006">
        <f>SUM(L50:L74)</f>
        <v>0</v>
      </c>
      <c r="M75" s="1007">
        <f>SUM(M50:M74)</f>
        <v>0</v>
      </c>
      <c r="N75" s="1007">
        <f>SUM(N50:N74)</f>
        <v>0</v>
      </c>
      <c r="O75" s="1005">
        <f>SUM(O50:O74)</f>
        <v>0</v>
      </c>
      <c r="P75" s="1005">
        <f>SUM(P50:P74)</f>
        <v>0</v>
      </c>
      <c r="Q75" s="1008">
        <f>SUM(Q50:Q74)</f>
        <v>0</v>
      </c>
      <c r="R75" s="1007">
        <f>SUM(R50:R74)</f>
        <v>0</v>
      </c>
      <c r="S75" s="674">
        <f>SUM(S50:S74)</f>
        <v>0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989</v>
      </c>
      <c r="O80" s="994" t="s">
        <v>990</v>
      </c>
      <c r="P80" s="997" t="s">
        <v>991</v>
      </c>
      <c r="Q80" s="994" t="s">
        <v>667</v>
      </c>
      <c r="R80" s="1462" t="s">
        <v>992</v>
      </c>
      <c r="S80" s="1463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988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11">
        <f>L82+M82-N82</f>
        <v>0</v>
      </c>
      <c r="R82" s="849"/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2">
        <f aca="true" t="shared" si="3" ref="Q83:Q106">L83+M83-N83</f>
        <v>0</v>
      </c>
      <c r="R83" s="851"/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t="shared" si="3"/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4" t="s">
        <v>471</v>
      </c>
      <c r="I107" s="1465"/>
      <c r="J107" s="1466"/>
      <c r="K107" s="1005">
        <f>SUM(K82:K106)</f>
        <v>0</v>
      </c>
      <c r="L107" s="1006">
        <f>SUM(L82:L106)</f>
        <v>0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0</v>
      </c>
      <c r="R107" s="1007">
        <f>SUM(R82:R106)</f>
        <v>0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993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994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995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996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997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6"/>
      <c r="D120" s="1346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view="pageBreakPreview" zoomScale="60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9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9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7" t="s">
        <v>449</v>
      </c>
      <c r="H13" s="1468"/>
      <c r="I13" s="1469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0" t="s">
        <v>443</v>
      </c>
      <c r="D15" s="1471"/>
      <c r="E15" s="1472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3"/>
      <c r="D25" s="1473"/>
      <c r="E25" s="1473"/>
      <c r="F25" s="1473"/>
      <c r="G25" s="1473"/>
      <c r="H25" s="1473"/>
      <c r="I25" s="1473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3"/>
      <c r="D29" s="1473"/>
      <c r="E29" s="1473"/>
      <c r="F29" s="1473"/>
      <c r="G29" s="1473"/>
      <c r="H29" s="1473"/>
      <c r="I29" s="1473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2"/>
      <c r="D36" s="1352"/>
      <c r="E36" s="1352"/>
      <c r="F36" s="1352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view="pageBreakPreview" zoomScale="60" zoomScaleNormal="125" zoomScalePageLayoutView="125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9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9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4" t="s">
        <v>461</v>
      </c>
      <c r="F13" s="1475"/>
      <c r="G13" s="1475"/>
      <c r="H13" s="1475"/>
      <c r="I13" s="1475"/>
      <c r="J13" s="1475"/>
      <c r="K13" s="1475"/>
      <c r="L13" s="1475"/>
      <c r="M13" s="1475"/>
      <c r="N13" s="1476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0" t="s">
        <v>443</v>
      </c>
      <c r="D14" s="1471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2"/>
      <c r="D24" s="1352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view="pageBreakPreview" zoomScale="60" zoomScalePageLayoutView="0" workbookViewId="0" topLeftCell="A46">
      <selection activeCell="F53" sqref="F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9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9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3" t="str">
        <f>Entidad</f>
        <v>GESTIÓN INSULAR DE AGUAS DE TENERIFE, S.A</v>
      </c>
      <c r="F9" s="1353"/>
      <c r="G9" s="1353"/>
      <c r="H9" s="1353"/>
      <c r="I9" s="1353"/>
      <c r="J9" s="1353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124220.75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2" t="s">
        <v>503</v>
      </c>
      <c r="G36" s="1413"/>
      <c r="H36" s="1413"/>
      <c r="I36" s="1413"/>
      <c r="J36" s="1414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49" t="s">
        <v>485</v>
      </c>
      <c r="D37" s="145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3" t="s">
        <v>61</v>
      </c>
      <c r="D38" s="1444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55000</v>
      </c>
      <c r="G40" s="581"/>
      <c r="H40" s="581"/>
      <c r="I40" s="581"/>
      <c r="J40" s="591">
        <f>SUM(F40:I40)</f>
        <v>55000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/>
      <c r="F42" s="581"/>
      <c r="G42" s="581"/>
      <c r="H42" s="581"/>
      <c r="I42" s="581"/>
      <c r="J42" s="591">
        <f>SUM(F42:I42)</f>
        <v>0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2</v>
      </c>
      <c r="F43" s="581">
        <v>14636.55</v>
      </c>
      <c r="G43" s="581"/>
      <c r="H43" s="581"/>
      <c r="I43" s="581">
        <v>24413.53</v>
      </c>
      <c r="J43" s="591">
        <f>SUM(F43:I43)</f>
        <v>39050.08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7" t="s">
        <v>505</v>
      </c>
      <c r="D45" s="1478"/>
      <c r="E45" s="272">
        <f aca="true" t="shared" si="0" ref="E45:J45">SUM(E39:E44)</f>
        <v>3</v>
      </c>
      <c r="F45" s="272">
        <f t="shared" si="0"/>
        <v>69636.55</v>
      </c>
      <c r="G45" s="272">
        <f t="shared" si="0"/>
        <v>0</v>
      </c>
      <c r="H45" s="272">
        <f t="shared" si="0"/>
        <v>0</v>
      </c>
      <c r="I45" s="272">
        <f t="shared" si="0"/>
        <v>24413.53</v>
      </c>
      <c r="J45" s="272">
        <f t="shared" si="0"/>
        <v>94050.08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2" t="s">
        <v>443</v>
      </c>
      <c r="D50" s="1413"/>
      <c r="E50" s="1479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30170.67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7" t="s">
        <v>505</v>
      </c>
      <c r="D53" s="1480"/>
      <c r="E53" s="273"/>
      <c r="F53" s="272">
        <f>SUM(F51:F52)</f>
        <v>30170.67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2"/>
      <c r="E65" s="1352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view="pageBreakPreview" zoomScale="50" zoomScaleSheetLayoutView="50" zoomScalePageLayoutView="0" workbookViewId="0" topLeftCell="A46">
      <selection activeCell="E22" sqref="E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9" t="s">
        <v>1002</v>
      </c>
    </row>
    <row r="3" ht="22.5" customHeight="1">
      <c r="D3" s="124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9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9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353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3"/>
      <c r="D12" s="1423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3" t="s">
        <v>513</v>
      </c>
      <c r="D13" s="1484"/>
      <c r="E13" s="1484"/>
      <c r="F13" s="1484"/>
      <c r="G13" s="1484"/>
      <c r="H13" s="1485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2" t="s">
        <v>516</v>
      </c>
      <c r="D15" s="1413"/>
      <c r="E15" s="1414"/>
      <c r="F15" s="151"/>
      <c r="G15" s="1412" t="s">
        <v>517</v>
      </c>
      <c r="H15" s="1414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2" t="s">
        <v>434</v>
      </c>
      <c r="D16" s="1414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>
        <v>165000</v>
      </c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1" t="s">
        <v>471</v>
      </c>
      <c r="D56" s="1482"/>
      <c r="E56" s="175">
        <f>SUM(E17:E55)</f>
        <v>165000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3" t="s">
        <v>778</v>
      </c>
      <c r="D58" s="1484"/>
      <c r="E58" s="1484"/>
      <c r="F58" s="1484"/>
      <c r="G58" s="1484"/>
      <c r="H58" s="1485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3" t="s">
        <v>513</v>
      </c>
      <c r="D60" s="1484"/>
      <c r="E60" s="1484"/>
      <c r="F60" s="1484"/>
      <c r="G60" s="1484"/>
      <c r="H60" s="1485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2" t="s">
        <v>516</v>
      </c>
      <c r="D62" s="1413"/>
      <c r="E62" s="1414"/>
      <c r="F62" s="151"/>
      <c r="G62" s="1412" t="s">
        <v>517</v>
      </c>
      <c r="H62" s="1414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2" t="s">
        <v>434</v>
      </c>
      <c r="D63" s="1414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1" t="s">
        <v>471</v>
      </c>
      <c r="D69" s="1482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2"/>
      <c r="D75" s="1352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view="pageBreakPreview" zoomScale="60" zoomScaleNormal="74" zoomScalePageLayoutView="0" workbookViewId="0" topLeftCell="A1">
      <pane ySplit="14" topLeftCell="A21" activePane="bottomLeft" state="frozen"/>
      <selection pane="topLeft" activeCell="A1" sqref="A1"/>
      <selection pane="bottomLeft" activeCell="D61" sqref="D61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9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9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4" t="str">
        <f>Entidad</f>
        <v>GESTIÓN INSULAR DE AGUAS DE TENERIFE, S.A</v>
      </c>
      <c r="E9" s="1344"/>
      <c r="F9" s="1344"/>
      <c r="G9" s="1344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IF(ROUND('FC-3_1_INF_ADIC_CPyG'!F81-'FC-9_TRANS_SUBV'!G48,2)=0,"Ok","Mal, revisa dato en FC-3_1 y FC-9")</f>
        <v>Ok</v>
      </c>
      <c r="G47" s="864" t="str">
        <f>IF(ROUND('FC-3_1_INF_ADIC_CPyG'!G81-'FC-9_TRANS_SUBV'!H48,2)=0,"Ok","Mal,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5" t="s">
        <v>1045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5" t="s">
        <v>1046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2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view="pageBreakPreview" zoomScale="60"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3"/>
      <c r="D12" s="142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2"/>
      <c r="D35" s="1352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view="pageBreakPreview" zoomScale="60" zoomScalePageLayoutView="0" workbookViewId="0" topLeftCell="A25">
      <selection activeCell="E46" sqref="E4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3"/>
      <c r="D12" s="142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3" t="s">
        <v>443</v>
      </c>
      <c r="D18" s="1444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7" t="s">
        <v>569</v>
      </c>
      <c r="D20" s="1478"/>
      <c r="E20" s="272">
        <f>SUM(E21:E30)</f>
        <v>214899.83999999997</v>
      </c>
      <c r="F20" s="1486"/>
      <c r="G20" s="1487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165000</v>
      </c>
      <c r="F21" s="1488"/>
      <c r="G21" s="1489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0"/>
      <c r="G22" s="149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90"/>
      <c r="G23" s="149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90"/>
      <c r="G24" s="149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0"/>
      <c r="G25" s="149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0"/>
      <c r="G26" s="149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1053</v>
      </c>
      <c r="D27" s="266"/>
      <c r="E27" s="1266"/>
      <c r="F27" s="1245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0"/>
      <c r="G28" s="149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49899.83999999998</v>
      </c>
      <c r="F29" s="1490"/>
      <c r="G29" s="149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2"/>
      <c r="G30" s="149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7" t="s">
        <v>578</v>
      </c>
      <c r="D32" s="1478"/>
      <c r="E32" s="272">
        <f>SUM(E33:E44)</f>
        <v>-206329.75</v>
      </c>
      <c r="F32" s="1486"/>
      <c r="G32" s="1487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-55410</v>
      </c>
      <c r="F33" s="1490"/>
      <c r="G33" s="1491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-124220.74999999999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'FC-3_CPyG'!G35+'FC-3_CPyG'!G38+'FC-3_CPyG'!G39+'FC-3_1_INF_ADIC_CPyG'!G82</f>
        <v>-26699</v>
      </c>
      <c r="F35" s="540"/>
      <c r="G35" s="499"/>
      <c r="H35" s="105"/>
      <c r="J35" s="434"/>
      <c r="K35" s="436" t="s">
        <v>1077</v>
      </c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1048</v>
      </c>
      <c r="D42" s="266"/>
      <c r="E42" s="1264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1049</v>
      </c>
      <c r="D43" s="266"/>
      <c r="E43" s="1266"/>
      <c r="F43" s="1490" t="s">
        <v>1001</v>
      </c>
      <c r="G43" s="1491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1050</v>
      </c>
      <c r="D44" s="267"/>
      <c r="E44" s="1270">
        <f>'FC-3_1_INF_ADIC_CPyG'!G87</f>
        <v>0</v>
      </c>
      <c r="F44" s="1492"/>
      <c r="G44" s="1493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8570.089999999967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2"/>
      <c r="D52" s="1352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view="pageBreakPreview" zoomScale="60" zoomScalePageLayoutView="125" workbookViewId="0" topLeftCell="A1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5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5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5" customFormat="1" ht="30" customHeight="1">
      <c r="B9" s="1306"/>
      <c r="C9" s="630" t="s">
        <v>2</v>
      </c>
      <c r="D9" s="1347" t="str">
        <f>Entidad</f>
        <v>GESTIÓN INSULAR DE AGUAS DE TENERIFE, S.A</v>
      </c>
      <c r="E9" s="1347"/>
      <c r="F9" s="1347"/>
      <c r="G9" s="1347"/>
      <c r="H9" s="1347"/>
      <c r="I9" s="1347"/>
      <c r="J9" s="1347"/>
      <c r="K9" s="1347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5" customFormat="1" ht="30" customHeight="1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2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8"/>
      <c r="C13" s="1494"/>
      <c r="D13" s="1495"/>
      <c r="E13" s="994" t="s">
        <v>1032</v>
      </c>
      <c r="F13" s="1496" t="s">
        <v>396</v>
      </c>
      <c r="G13" s="1497"/>
      <c r="H13" s="1497"/>
      <c r="I13" s="1498"/>
      <c r="J13" s="994" t="s">
        <v>1033</v>
      </c>
      <c r="K13" s="1499" t="s">
        <v>1044</v>
      </c>
      <c r="L13" s="1316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500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3" customFormat="1" ht="22.5" customHeight="1">
      <c r="B15" s="638"/>
      <c r="C15" s="1324" t="s">
        <v>1028</v>
      </c>
      <c r="D15" s="1325"/>
      <c r="E15" s="481"/>
      <c r="F15" s="482"/>
      <c r="G15" s="483"/>
      <c r="H15" s="483"/>
      <c r="I15" s="484"/>
      <c r="J15" s="801">
        <f>SUM(E15:I15)</f>
        <v>0</v>
      </c>
      <c r="K15" s="512"/>
      <c r="L15" s="1316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6" t="s">
        <v>1029</v>
      </c>
      <c r="D16" s="1327"/>
      <c r="E16" s="485"/>
      <c r="F16" s="486"/>
      <c r="G16" s="487"/>
      <c r="H16" s="487"/>
      <c r="I16" s="488"/>
      <c r="J16" s="806">
        <f>SUM(E16:I16)</f>
        <v>0</v>
      </c>
      <c r="K16" s="1302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6" t="s">
        <v>1030</v>
      </c>
      <c r="D17" s="1327"/>
      <c r="E17" s="485"/>
      <c r="F17" s="486"/>
      <c r="G17" s="487"/>
      <c r="H17" s="487"/>
      <c r="I17" s="488"/>
      <c r="J17" s="806">
        <f>SUM(E17:I17)</f>
        <v>0</v>
      </c>
      <c r="K17" s="1302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1"/>
      <c r="D20" s="1331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4"/>
      <c r="D22" s="1495"/>
      <c r="E22" s="994" t="s">
        <v>1032</v>
      </c>
      <c r="F22" s="1496" t="s">
        <v>396</v>
      </c>
      <c r="G22" s="1497"/>
      <c r="H22" s="1497"/>
      <c r="I22" s="1498"/>
      <c r="J22" s="994" t="s">
        <v>1033</v>
      </c>
      <c r="K22" s="1499" t="s">
        <v>1044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500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4" t="s">
        <v>1038</v>
      </c>
      <c r="D24" s="1325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6" t="s">
        <v>1039</v>
      </c>
      <c r="D25" s="1327"/>
      <c r="E25" s="485"/>
      <c r="F25" s="486"/>
      <c r="G25" s="487"/>
      <c r="H25" s="487"/>
      <c r="I25" s="488"/>
      <c r="J25" s="801">
        <f>SUM(E25:I25)</f>
        <v>0</v>
      </c>
      <c r="K25" s="1302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6" t="s">
        <v>1040</v>
      </c>
      <c r="D26" s="1327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8" t="s">
        <v>1041</v>
      </c>
      <c r="D27" s="1329"/>
      <c r="E27" s="489"/>
      <c r="F27" s="490"/>
      <c r="G27" s="491"/>
      <c r="H27" s="491"/>
      <c r="I27" s="492"/>
      <c r="J27" s="801">
        <f>SUM(E27:I27)</f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8"/>
      <c r="C29" s="1331"/>
      <c r="D29" s="1331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1042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2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1043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6"/>
      <c r="D35" s="1346"/>
      <c r="E35" s="1346"/>
      <c r="F35" s="1346"/>
      <c r="G35" s="1301"/>
      <c r="H35" s="1301"/>
      <c r="I35" s="1301"/>
      <c r="J35" s="1301"/>
      <c r="K35" s="1304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tabSelected="1" view="pageBreakPreview" zoomScale="60" zoomScalePageLayoutView="0" workbookViewId="0" topLeftCell="A1">
      <selection activeCell="E26" sqref="E2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9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9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353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3"/>
      <c r="D12" s="1423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2" t="s">
        <v>443</v>
      </c>
      <c r="D14" s="1414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1" t="s">
        <v>589</v>
      </c>
      <c r="D16" s="1502"/>
      <c r="E16" s="298">
        <f>SUM(E17:E19)</f>
        <v>165000</v>
      </c>
      <c r="F16" s="301">
        <f>E16/$E$33</f>
        <v>1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165000</v>
      </c>
      <c r="F17" s="302">
        <f>E17/$E$33</f>
        <v>1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1" t="s">
        <v>596</v>
      </c>
      <c r="D21" s="1502"/>
      <c r="E21" s="1292">
        <f>+'FC-3_1_INF_ADIC_CPyG'!K40</f>
        <v>0</v>
      </c>
      <c r="F21" s="306">
        <f>E21/$E$33</f>
        <v>0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1" t="s">
        <v>597</v>
      </c>
      <c r="D23" s="1502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/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1" t="s">
        <v>601</v>
      </c>
      <c r="D28" s="1502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3"/>
      <c r="E29" s="513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3" t="s">
        <v>602</v>
      </c>
      <c r="D33" s="1504"/>
      <c r="E33" s="294">
        <f>E28+E23+E21+E16</f>
        <v>165000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2"/>
      <c r="D40" s="1352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9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view="pageBreakPreview" zoomScale="60" zoomScalePageLayoutView="0" workbookViewId="0" topLeftCell="A1">
      <selection activeCell="L21" sqref="L2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9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9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3" t="str">
        <f>Entidad</f>
        <v>GESTIÓN INSULAR DE AGUAS DE TENERIFE, S.A</v>
      </c>
      <c r="E9" s="1353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3"/>
      <c r="D12" s="1423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2" t="s">
        <v>618</v>
      </c>
      <c r="D14" s="1414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165000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49899.83999999998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1" t="s">
        <v>609</v>
      </c>
      <c r="D21" s="1502"/>
      <c r="E21" s="298">
        <f>SUM(E16:E20)</f>
        <v>214899.83999999997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1" t="s">
        <v>612</v>
      </c>
      <c r="D25" s="1502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1" t="s">
        <v>615</v>
      </c>
      <c r="D29" s="1502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5" t="s">
        <v>616</v>
      </c>
      <c r="D31" s="1506"/>
      <c r="E31" s="307">
        <f>E21+E25+E29</f>
        <v>214899.83999999997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1" t="s">
        <v>617</v>
      </c>
      <c r="D33" s="1502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05" t="s">
        <v>616</v>
      </c>
      <c r="D35" s="1506"/>
      <c r="E35" s="307">
        <f>E31+E33</f>
        <v>214899.83999999997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2" t="s">
        <v>619</v>
      </c>
      <c r="D37" s="1414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124220.74999999999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82109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1" t="s">
        <v>623</v>
      </c>
      <c r="D43" s="1502"/>
      <c r="E43" s="298">
        <f>SUM(E39:E42)</f>
        <v>206329.75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1" t="s">
        <v>625</v>
      </c>
      <c r="D47" s="1502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1" t="s">
        <v>626</v>
      </c>
      <c r="D51" s="1502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5" t="s">
        <v>627</v>
      </c>
      <c r="D53" s="1506"/>
      <c r="E53" s="307">
        <f>E43+E47+E51</f>
        <v>206329.75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1" t="s">
        <v>628</v>
      </c>
      <c r="D55" s="1502"/>
      <c r="E55" s="298">
        <f>'_FC-90_DETALLE'!H152</f>
        <v>8570.09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05" t="s">
        <v>627</v>
      </c>
      <c r="D57" s="1506"/>
      <c r="E57" s="307">
        <f>E53+E55</f>
        <v>214899.84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998</v>
      </c>
      <c r="D59" s="1243"/>
      <c r="E59" s="1244">
        <f>E35-E57</f>
        <v>0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999</v>
      </c>
      <c r="D61" s="1243"/>
      <c r="E61" s="1244">
        <f>'_FC-90_DETALLE'!H170</f>
        <v>6.366462912410498E-12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1000</v>
      </c>
      <c r="D63" s="1243"/>
      <c r="E63" s="1244">
        <f>+E59+E61</f>
        <v>6.366462912410498E-12</v>
      </c>
      <c r="F63" s="188"/>
    </row>
    <row r="64" spans="2:8" ht="22.5" customHeight="1" thickBot="1" thickTop="1">
      <c r="B64" s="120"/>
      <c r="C64" s="1352"/>
      <c r="D64" s="1352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8" sqref="D88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12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12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13" t="str">
        <f>Entidad</f>
        <v>GESTIÓN INSULAR DE AGUAS DE TENERIFE, S.A</v>
      </c>
      <c r="E9" s="1513"/>
      <c r="F9" s="1513"/>
      <c r="G9" s="1513"/>
      <c r="H9" s="1513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14"/>
      <c r="D12" s="1514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5" t="s">
        <v>618</v>
      </c>
      <c r="D14" s="1516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165000</v>
      </c>
      <c r="F18" s="1058">
        <f>SUM(F19:F25)</f>
        <v>0</v>
      </c>
      <c r="G18" s="1058">
        <f>SUM(G19:G25)</f>
        <v>0</v>
      </c>
      <c r="H18" s="1058">
        <f>SUM(H19:H25)</f>
        <v>165000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165000</v>
      </c>
      <c r="F19" s="1065"/>
      <c r="G19" s="1169"/>
      <c r="H19" s="1066">
        <f aca="true" t="shared" si="0" ref="H19:H25">SUM(E19:G19)</f>
        <v>165000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'FC-3_1_INF_ADIC_CPyG'!G74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'FC-3_1_INF_ADIC_CPyG'!G76</f>
        <v>0</v>
      </c>
      <c r="F21" s="1065"/>
      <c r="G21" s="1169"/>
      <c r="H21" s="1066">
        <f t="shared" si="0"/>
        <v>0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1016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10416.6</v>
      </c>
      <c r="F26" s="1058">
        <f>SUM(F27:F30)</f>
        <v>49899.83999999998</v>
      </c>
      <c r="G26" s="1058">
        <f>SUM(G27:G30)</f>
        <v>-10416.6</v>
      </c>
      <c r="H26" s="1058">
        <f>SUM(H27:H30)</f>
        <v>49899.83999999998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10416.6</v>
      </c>
      <c r="F27" s="1065"/>
      <c r="G27" s="1169">
        <v>-10416.6</v>
      </c>
      <c r="H27" s="1066">
        <f>SUM(E27:G27)</f>
        <v>0</v>
      </c>
      <c r="I27" s="1067"/>
      <c r="K27" s="1183" t="s">
        <v>1078</v>
      </c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49899.83999999998</v>
      </c>
      <c r="G28" s="1169"/>
      <c r="H28" s="1066">
        <f>SUM(E28:G28)</f>
        <v>49899.83999999998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'FC-3_1_INF_ADIC_CPyG'!G75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17" t="s">
        <v>609</v>
      </c>
      <c r="D39" s="1518"/>
      <c r="E39" s="1077">
        <f>E16+E17+E18+E26+E31</f>
        <v>175416.6</v>
      </c>
      <c r="F39" s="1077">
        <f>F16+F17+F18+F26+F31</f>
        <v>49899.83999999998</v>
      </c>
      <c r="G39" s="1077">
        <f>G16+G17+G18+G26+G31</f>
        <v>-10416.6</v>
      </c>
      <c r="H39" s="1077">
        <f>H16+H17+H18+H26+H31</f>
        <v>214899.83999999997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10" t="s">
        <v>612</v>
      </c>
      <c r="D50" s="1511"/>
      <c r="E50" s="1051">
        <f>E41+E45</f>
        <v>0</v>
      </c>
      <c r="F50" s="1051">
        <f>F41+F45</f>
        <v>0</v>
      </c>
      <c r="G50" s="1051">
        <f>G41+G45</f>
        <v>0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10" t="s">
        <v>615</v>
      </c>
      <c r="D68" s="1511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22" t="s">
        <v>845</v>
      </c>
      <c r="D70" s="1523"/>
      <c r="E70" s="1105">
        <f>E68+E50+E39</f>
        <v>175416.6</v>
      </c>
      <c r="F70" s="1105">
        <f>F68+F50+F39</f>
        <v>49899.83999999998</v>
      </c>
      <c r="G70" s="1105">
        <f>G68+G50+G39</f>
        <v>-10416.6</v>
      </c>
      <c r="H70" s="1105">
        <f>H68+H50+H39</f>
        <v>214899.83999999997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24" t="s">
        <v>617</v>
      </c>
      <c r="D72" s="1525"/>
      <c r="E72" s="1108">
        <f>SUM(E73:E81)</f>
        <v>0</v>
      </c>
      <c r="F72" s="1108">
        <f>SUM(F73:F81)</f>
        <v>0</v>
      </c>
      <c r="G72" s="1108">
        <f>SUM(G73:G81)</f>
        <v>0</v>
      </c>
      <c r="H72" s="1108">
        <f>SUM(H73:H81)</f>
        <v>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0</v>
      </c>
      <c r="F75" s="1065"/>
      <c r="G75" s="1065"/>
      <c r="H75" s="1066">
        <f t="shared" si="3"/>
        <v>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1018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20" t="s">
        <v>856</v>
      </c>
      <c r="D83" s="1521"/>
      <c r="E83" s="1111">
        <f>E70+E72</f>
        <v>175416.6</v>
      </c>
      <c r="F83" s="1111">
        <f>F70+F72</f>
        <v>49899.83999999998</v>
      </c>
      <c r="G83" s="1111">
        <f>G70+G72</f>
        <v>-10416.6</v>
      </c>
      <c r="H83" s="1111">
        <f>H70+H72</f>
        <v>214899.83999999997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5" t="s">
        <v>619</v>
      </c>
      <c r="D86" s="1516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124220.74999999999</v>
      </c>
      <c r="F88" s="1058">
        <f>SUM(F89:F92)</f>
        <v>0</v>
      </c>
      <c r="G88" s="1058">
        <f>SUM(G89:G92)</f>
        <v>0</v>
      </c>
      <c r="H88" s="1058">
        <f>SUM(H89:H92)</f>
        <v>124220.74999999999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124220.74999999999</v>
      </c>
      <c r="F89" s="1065"/>
      <c r="G89" s="1065"/>
      <c r="H89" s="1066">
        <f>F89+E89</f>
        <v>124220.74999999999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92525.6</v>
      </c>
      <c r="F93" s="1122">
        <f>SUM(F94:F105)</f>
        <v>0</v>
      </c>
      <c r="G93" s="1122">
        <f>SUM(G94:G105)</f>
        <v>-10416.6</v>
      </c>
      <c r="H93" s="1122">
        <f>SUM(H94:H105)</f>
        <v>82109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55410</v>
      </c>
      <c r="F94" s="1065"/>
      <c r="G94" s="1065"/>
      <c r="H94" s="1066">
        <f>SUM(E94:G94)</f>
        <v>55410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37115.6</v>
      </c>
      <c r="F96" s="1065"/>
      <c r="G96" s="1065">
        <v>-10416.6</v>
      </c>
      <c r="H96" s="1066">
        <f t="shared" si="4"/>
        <v>26699</v>
      </c>
      <c r="I96" s="1042"/>
      <c r="K96" s="1183" t="s">
        <v>1078</v>
      </c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0</v>
      </c>
      <c r="F97" s="1065"/>
      <c r="G97" s="1065"/>
      <c r="H97" s="1066">
        <f t="shared" si="4"/>
        <v>0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0</v>
      </c>
      <c r="F100" s="1065"/>
      <c r="G100" s="1065"/>
      <c r="H100" s="1066">
        <f t="shared" si="4"/>
        <v>0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1020</v>
      </c>
      <c r="E101" s="1064">
        <f>-'FC-3_1_INF_ADIC_CPyG'!G57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-'FC-3_1_INF_ADIC_CPyG'!G87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5.75" customHeight="1">
      <c r="B106" s="1055"/>
      <c r="C106" s="1120" t="s">
        <v>197</v>
      </c>
      <c r="D106" s="1121" t="s">
        <v>386</v>
      </c>
      <c r="E106" s="1122">
        <f>SUM(E107:E111)</f>
        <v>0</v>
      </c>
      <c r="F106" s="1122">
        <f>SUM(F107:F111)</f>
        <v>0</v>
      </c>
      <c r="G106" s="1122">
        <f>SUM(G107:G111)</f>
        <v>0</v>
      </c>
      <c r="H106" s="1122">
        <f>SUM(H107:H111)</f>
        <v>0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0</v>
      </c>
      <c r="F108" s="1065"/>
      <c r="G108" s="1065"/>
      <c r="H108" s="1066">
        <f t="shared" si="4"/>
        <v>0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+'FC-3_1_INF_ADIC_CPyG'!G87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10" t="s">
        <v>623</v>
      </c>
      <c r="D116" s="1511"/>
      <c r="E116" s="1051">
        <f>E88+E93+E106+E112</f>
        <v>216746.34999999998</v>
      </c>
      <c r="F116" s="1051">
        <f>F88+F93+F106+F112</f>
        <v>0</v>
      </c>
      <c r="G116" s="1051">
        <f>G88+G93+G106+G112</f>
        <v>-10416.6</v>
      </c>
      <c r="H116" s="1051">
        <f>H88+H93+H106+H112</f>
        <v>206329.75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0</v>
      </c>
      <c r="G118" s="1058">
        <f>SUM(G119:G122)</f>
        <v>0</v>
      </c>
      <c r="H118" s="1058">
        <f>SUM(H119:H122)</f>
        <v>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0</v>
      </c>
      <c r="G119" s="1172"/>
      <c r="H119" s="1066">
        <f>SUM(E119:G119)</f>
        <v>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0</v>
      </c>
      <c r="H123" s="1058">
        <f>SUM(H124:H126)</f>
        <v>0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/>
      <c r="H124" s="1066">
        <f>SUM(E124:G124)</f>
        <v>0</v>
      </c>
      <c r="I124" s="1074"/>
      <c r="K124" s="1183"/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10" t="s">
        <v>625</v>
      </c>
      <c r="D127" s="1511"/>
      <c r="E127" s="1051">
        <f>+E118+E123</f>
        <v>0</v>
      </c>
      <c r="F127" s="1051">
        <f>+F118+F123</f>
        <v>0</v>
      </c>
      <c r="G127" s="1051">
        <f>+G118+G123</f>
        <v>0</v>
      </c>
      <c r="H127" s="1051">
        <f>+H118+H123</f>
        <v>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0</v>
      </c>
      <c r="G136" s="1092">
        <f>SUM(G137:G144)</f>
        <v>0</v>
      </c>
      <c r="H136" s="1092">
        <f>SUM(H137:H144)</f>
        <v>0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0</v>
      </c>
      <c r="G140" s="1173"/>
      <c r="H140" s="1066">
        <f t="shared" si="5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17" t="s">
        <v>626</v>
      </c>
      <c r="D145" s="1518"/>
      <c r="E145" s="1077">
        <f>+E129+E136</f>
        <v>0</v>
      </c>
      <c r="F145" s="1077">
        <f>+F129+F136</f>
        <v>0</v>
      </c>
      <c r="G145" s="1077">
        <f>+G129+G136</f>
        <v>0</v>
      </c>
      <c r="H145" s="1077">
        <f>+H129+H136</f>
        <v>0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26" t="s">
        <v>882</v>
      </c>
      <c r="D147" s="1527"/>
      <c r="E147" s="1132">
        <f>+E116+E127+E145</f>
        <v>216746.34999999998</v>
      </c>
      <c r="F147" s="1132">
        <f>+F116+F127+F145</f>
        <v>0</v>
      </c>
      <c r="G147" s="1132">
        <f>+G116+G127+G145</f>
        <v>-10416.6</v>
      </c>
      <c r="H147" s="1132">
        <f>+H116+H127+H145</f>
        <v>206329.75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-41329.74999999997</v>
      </c>
      <c r="F149" s="1135">
        <f>F70-F147</f>
        <v>49899.83999999998</v>
      </c>
      <c r="G149" s="1135">
        <f>G70-G147</f>
        <v>0</v>
      </c>
      <c r="H149" s="1135">
        <f>H70-H147</f>
        <v>8570.089999999967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28" t="s">
        <v>628</v>
      </c>
      <c r="D152" s="1529"/>
      <c r="E152" s="1137">
        <f>SUM(E153:E164)</f>
        <v>8570.09</v>
      </c>
      <c r="F152" s="1138">
        <f>SUM(F153:F164)</f>
        <v>0</v>
      </c>
      <c r="G152" s="1138">
        <f>SUM(G153:G164)</f>
        <v>0</v>
      </c>
      <c r="H152" s="1138">
        <f>SUM(H153:H164)</f>
        <v>8570.09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8570.09</v>
      </c>
      <c r="F157" s="1065"/>
      <c r="G157" s="1065"/>
      <c r="H157" s="1066">
        <f t="shared" si="6"/>
        <v>8570.09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6"/>
        <v>0</v>
      </c>
      <c r="I159" s="1042"/>
      <c r="K159" s="1237" t="s">
        <v>983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1017</v>
      </c>
      <c r="D161" s="1063" t="s">
        <v>1019</v>
      </c>
      <c r="E161" s="1064">
        <f>-'FC-3_1_INF_ADIC_CPyG'!G61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20" t="s">
        <v>898</v>
      </c>
      <c r="D166" s="1521"/>
      <c r="E166" s="1111">
        <f>+E147+E152</f>
        <v>225316.43999999997</v>
      </c>
      <c r="F166" s="1111">
        <f>+F147+F152</f>
        <v>0</v>
      </c>
      <c r="G166" s="1111">
        <f>+G147+G152</f>
        <v>-10416.6</v>
      </c>
      <c r="H166" s="1111">
        <f>+H147+H152</f>
        <v>214899.84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-49899.83999999997</v>
      </c>
      <c r="F168" s="1135">
        <f>+F83-F166</f>
        <v>49899.83999999998</v>
      </c>
      <c r="G168" s="1135">
        <f>+G83-G166</f>
        <v>0</v>
      </c>
      <c r="H168" s="1135">
        <f>+H83-H166</f>
        <v>0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30" t="s">
        <v>894</v>
      </c>
      <c r="D170" s="1531"/>
      <c r="E170" s="1151">
        <f>E171+E178+E180+E186+E187+E194</f>
        <v>0</v>
      </c>
      <c r="F170" s="1151">
        <f>F171+F178+F180+F186+F187+F194+F196</f>
        <v>6.366462912410498E-12</v>
      </c>
      <c r="G170" s="1151">
        <f>G171+G178+G180+G186+G187+G194+G196</f>
        <v>0</v>
      </c>
      <c r="H170" s="1151">
        <f>H171+H178+H180+H186+H187+H194+H196</f>
        <v>6.366462912410498E-12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07">
        <f>SUM(F174:F177)</f>
        <v>8570.09</v>
      </c>
      <c r="G171" s="1507">
        <f>SUM(G174:G177)</f>
        <v>0</v>
      </c>
      <c r="H171" s="1507">
        <f>F171+G171</f>
        <v>8570.09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08"/>
      <c r="G172" s="1508"/>
      <c r="H172" s="1508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09"/>
      <c r="G173" s="1509"/>
      <c r="H173" s="1509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8570.09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-7108.749999999994</v>
      </c>
      <c r="G180" s="1155">
        <f>SUM(G181:G185)</f>
        <v>0</v>
      </c>
      <c r="H180" s="1156">
        <f>F180+G180</f>
        <v>-7108.749999999994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3009.04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-10117.789999999994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SUM(F188:F193)</f>
        <v>-1461.3400000000001</v>
      </c>
      <c r="G187" s="1155">
        <f>SUM(G189:G191)</f>
        <v>0</v>
      </c>
      <c r="H187" s="1156">
        <f>F187+G187</f>
        <v>-1461.3400000000001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-1461.3400000000001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916</v>
      </c>
      <c r="D194" s="1081"/>
      <c r="E194" s="1065"/>
      <c r="F194" s="1155">
        <f>F195</f>
        <v>0</v>
      </c>
      <c r="G194" s="1155">
        <f>G195</f>
        <v>0</v>
      </c>
      <c r="H194" s="1156">
        <f>F194+G194</f>
        <v>0</v>
      </c>
      <c r="I194" s="1042"/>
      <c r="K194" s="1183"/>
    </row>
    <row r="195" spans="2:11" s="1043" customFormat="1" ht="18" hidden="1">
      <c r="B195" s="1040"/>
      <c r="C195" s="1062" t="s">
        <v>924</v>
      </c>
      <c r="D195" s="1081" t="s">
        <v>895</v>
      </c>
      <c r="E195" s="1065"/>
      <c r="F195" s="1094">
        <f>'FC-9_TRANS_SUBV'!J33</f>
        <v>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956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hidden="1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19"/>
      <c r="D203" s="1519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955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929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896</v>
      </c>
      <c r="D216" s="1134"/>
      <c r="E216" s="1135"/>
    </row>
    <row r="217" spans="3:5" ht="22.5" customHeight="1" thickTop="1">
      <c r="C217" s="625"/>
      <c r="D217" s="625" t="s">
        <v>930</v>
      </c>
      <c r="E217" s="1037">
        <f>+E168</f>
        <v>-49899.83999999997</v>
      </c>
    </row>
    <row r="218" spans="4:5" ht="22.5" customHeight="1">
      <c r="D218" s="617" t="s">
        <v>931</v>
      </c>
      <c r="E218" s="1029">
        <f>+'FC-3_CPyG'!G84</f>
        <v>-49899.83999999998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932</v>
      </c>
      <c r="E221" s="1029">
        <f>+H168</f>
        <v>0</v>
      </c>
    </row>
    <row r="222" spans="4:5" ht="22.5" customHeight="1">
      <c r="D222" s="617" t="s">
        <v>933</v>
      </c>
      <c r="E222" s="1029">
        <f>+H170</f>
        <v>6.366462912410498E-12</v>
      </c>
    </row>
    <row r="223" ht="22.5" customHeight="1">
      <c r="E223" s="1168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zoomScalePageLayoutView="0" workbookViewId="0" topLeftCell="A1">
      <selection activeCell="G35" sqref="G35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9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9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4" t="str">
        <f>Entidad</f>
        <v>GESTIÓN INSULAR DE AGUAS DE TENERIFE, S.A</v>
      </c>
      <c r="E9" s="1344"/>
      <c r="F9" s="1344"/>
      <c r="G9" s="1344"/>
      <c r="H9" s="1344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5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5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5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7" t="s">
        <v>1071</v>
      </c>
      <c r="E23" s="546"/>
      <c r="F23" s="546"/>
      <c r="G23" s="546"/>
      <c r="H23" s="439">
        <v>43787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1072</v>
      </c>
      <c r="E24" s="547"/>
      <c r="F24" s="547"/>
      <c r="G24" s="547"/>
      <c r="H24" s="440">
        <v>43787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1064</v>
      </c>
      <c r="E25" s="547"/>
      <c r="F25" s="547"/>
      <c r="G25" s="547"/>
      <c r="H25" s="440">
        <v>43054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 t="s">
        <v>1073</v>
      </c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1074</v>
      </c>
      <c r="E27" s="547"/>
      <c r="F27" s="547"/>
      <c r="G27" s="547"/>
      <c r="H27" s="440">
        <v>43787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1075</v>
      </c>
      <c r="E28" s="547"/>
      <c r="F28" s="547"/>
      <c r="G28" s="547"/>
      <c r="H28" s="440">
        <v>43787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1076</v>
      </c>
      <c r="E29" s="547"/>
      <c r="F29" s="547"/>
      <c r="G29" s="547"/>
      <c r="H29" s="440">
        <v>43787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1069</v>
      </c>
      <c r="E40" s="548"/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1070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view="pageBreakPreview" zoomScale="60" zoomScalePageLayoutView="0" workbookViewId="0" topLeftCell="A1">
      <selection activeCell="J17" sqref="J17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GESTIÓN INSULAR DE AGUAS DE TENERIFE, S.A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0" t="s">
        <v>720</v>
      </c>
      <c r="G15" s="1350"/>
      <c r="H15" s="1350"/>
      <c r="I15" s="742">
        <f>ejercicio-2</f>
        <v>2018</v>
      </c>
      <c r="J15" s="743"/>
      <c r="K15" s="723"/>
      <c r="L15" s="1350" t="s">
        <v>719</v>
      </c>
      <c r="M15" s="1350"/>
      <c r="N15" s="1350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1058</v>
      </c>
      <c r="D17" s="442"/>
      <c r="E17" s="764" t="s">
        <v>1061</v>
      </c>
      <c r="F17" s="443">
        <v>1</v>
      </c>
      <c r="G17" s="762">
        <v>6000</v>
      </c>
      <c r="H17" s="762" t="s">
        <v>1062</v>
      </c>
      <c r="I17" s="445">
        <v>10</v>
      </c>
      <c r="J17" s="445">
        <f>'FC-4_PASIVO'!E16/'FC-2_ACCIONISTAS'!G17</f>
        <v>19.586694999999906</v>
      </c>
      <c r="K17" s="445"/>
      <c r="L17" s="445">
        <v>0</v>
      </c>
      <c r="M17" s="445">
        <v>0</v>
      </c>
      <c r="N17" s="445">
        <v>0</v>
      </c>
      <c r="O17" s="445">
        <v>0</v>
      </c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0" t="s">
        <v>720</v>
      </c>
      <c r="G31" s="1350"/>
      <c r="H31" s="1350"/>
      <c r="I31" s="742">
        <f>ejercicio-2</f>
        <v>2018</v>
      </c>
      <c r="J31" s="743"/>
      <c r="K31" s="723"/>
      <c r="L31" s="1351" t="s">
        <v>719</v>
      </c>
      <c r="M31" s="1351"/>
      <c r="N31" s="1351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48" t="s">
        <v>30</v>
      </c>
      <c r="D47" s="1348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49" t="s">
        <v>1063</v>
      </c>
      <c r="D48" s="1349"/>
      <c r="E48" s="1349"/>
      <c r="F48" s="1349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6"/>
      <c r="D55" s="1346"/>
      <c r="E55" s="1346"/>
      <c r="F55" s="1346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view="pageBreakPreview" zoomScale="60" zoomScalePageLayoutView="50" workbookViewId="0" topLeftCell="A1">
      <selection activeCell="D72" sqref="D7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GESTIÓN INSULAR DE AGUAS DE TENERIFE, S.A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0</v>
      </c>
      <c r="F16" s="131">
        <f>SUM(F17:F19)</f>
        <v>8977990.42</v>
      </c>
      <c r="G16" s="131">
        <f>SUM(G17:G19)</f>
        <v>165000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>
        <v>8977990.42</v>
      </c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/>
      <c r="F18" s="451"/>
      <c r="G18" s="451">
        <v>165000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5138989.05</v>
      </c>
      <c r="F20" s="452">
        <v>-7075296.4799999995</v>
      </c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-4849663.15</v>
      </c>
      <c r="F22" s="131">
        <f>SUM(F23:F26)</f>
        <v>-1773274.6300000001</v>
      </c>
      <c r="G22" s="131">
        <f>SUM(G23:G26)</f>
        <v>-55410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-4849663.15</v>
      </c>
      <c r="F25" s="451">
        <v>-1773274.6300000001</v>
      </c>
      <c r="G25" s="451">
        <v>-55410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10665.59</v>
      </c>
      <c r="F27" s="131">
        <f>SUM(F28:F29)</f>
        <v>10416.6</v>
      </c>
      <c r="G27" s="131">
        <f>SUM(G28:G29)</f>
        <v>10416.6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248.99</v>
      </c>
      <c r="F28" s="450"/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10416.6</v>
      </c>
      <c r="F29" s="451">
        <v>10416.6</v>
      </c>
      <c r="G29" s="451">
        <v>10416.6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-161567.96000000002</v>
      </c>
      <c r="F30" s="131">
        <f>SUM(F31:F33)</f>
        <v>-90861.69</v>
      </c>
      <c r="G30" s="131">
        <f>SUM(G31:G33)</f>
        <v>-124220.74999999999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-124497.52</v>
      </c>
      <c r="F31" s="450">
        <v>-68479.61</v>
      </c>
      <c r="G31" s="450">
        <v>-94050.07999999999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-37070.44</v>
      </c>
      <c r="F32" s="451">
        <v>-22382.08</v>
      </c>
      <c r="G32" s="451">
        <v>-30170.670000000002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-177795.78000000003</v>
      </c>
      <c r="F34" s="131">
        <f>SUM(F35:F39)</f>
        <v>-95341.17</v>
      </c>
      <c r="G34" s="131">
        <f>SUM(G35:G39)</f>
        <v>-37115.6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-177795.78000000003</v>
      </c>
      <c r="F35" s="450">
        <v>-95341.17</v>
      </c>
      <c r="G35" s="450">
        <v>-37115.6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/>
      <c r="F36" s="451"/>
      <c r="G36" s="451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-9007.970000000001</v>
      </c>
      <c r="F40" s="452">
        <v>-9058.804333333333</v>
      </c>
      <c r="G40" s="452">
        <v>-8570.09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-3076.46</v>
      </c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-51456.68000000058</v>
      </c>
      <c r="F49" s="357">
        <f>F16+F20+F21+F22+F27+F30+F34+F40+F41+F42+F43+F47+F48</f>
        <v>-55425.75433333304</v>
      </c>
      <c r="G49" s="357">
        <f>G16+G20+G21+G22+G27+G30+G34+G40+G41+G42+G43+G47+G48</f>
        <v>-49899.83999999998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0</v>
      </c>
      <c r="F66" s="452">
        <v>0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-51456.68000000058</v>
      </c>
      <c r="F76" s="360">
        <f>F74+F49</f>
        <v>-55425.75433333304</v>
      </c>
      <c r="G76" s="360">
        <f>G74+G49</f>
        <v>-49899.83999999998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-51456.68000000058</v>
      </c>
      <c r="F79" s="360">
        <f>F76+F77</f>
        <v>-55425.75433333304</v>
      </c>
      <c r="G79" s="360">
        <f>G76+G77</f>
        <v>-49899.83999999998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-51456.68000000058</v>
      </c>
      <c r="F84" s="135">
        <f>F79+F82</f>
        <v>-55425.75433333304</v>
      </c>
      <c r="G84" s="135">
        <f>G79+G82</f>
        <v>-49899.83999999998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2"/>
      <c r="D86" s="1352"/>
      <c r="E86" s="1352"/>
      <c r="F86" s="1352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view="pageBreakPreview" zoomScale="60" zoomScaleNormal="93" zoomScalePageLayoutView="125" workbookViewId="0" topLeftCell="A1">
      <selection activeCell="I52" sqref="I52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5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5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7" t="str">
        <f>Entidad</f>
        <v>GESTIÓN INSULAR DE AGUAS DE TENERIFE, S.A</v>
      </c>
      <c r="E9" s="1347"/>
      <c r="F9" s="1347"/>
      <c r="G9" s="1347"/>
      <c r="H9" s="1347"/>
      <c r="I9" s="1347"/>
      <c r="J9" s="1347"/>
      <c r="K9" s="1347"/>
      <c r="L9" s="1347"/>
      <c r="M9" s="1347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8977990.42</v>
      </c>
      <c r="I19" s="654">
        <f>+I20+I25</f>
        <v>0</v>
      </c>
      <c r="J19" s="655"/>
      <c r="K19" s="654">
        <f>+K20+K25</f>
        <v>165000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8977990.42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 t="s">
        <v>1058</v>
      </c>
      <c r="E21" s="514"/>
      <c r="F21" s="514"/>
      <c r="G21" s="553"/>
      <c r="H21" s="514">
        <v>8977990.42</v>
      </c>
      <c r="I21" s="514">
        <v>0</v>
      </c>
      <c r="J21" s="553"/>
      <c r="K21" s="514">
        <v>0</v>
      </c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165000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 t="s">
        <v>1058</v>
      </c>
      <c r="E26" s="514"/>
      <c r="F26" s="514"/>
      <c r="G26" s="553"/>
      <c r="H26" s="514"/>
      <c r="I26" s="514"/>
      <c r="J26" s="553"/>
      <c r="K26" s="514">
        <v>165000</v>
      </c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0</v>
      </c>
      <c r="F30" s="654">
        <f>+F31+F40</f>
        <v>0</v>
      </c>
      <c r="G30" s="655"/>
      <c r="H30" s="654">
        <f>+H31+H40</f>
        <v>0</v>
      </c>
      <c r="I30" s="654">
        <f>+I31+I40</f>
        <v>0</v>
      </c>
      <c r="J30" s="655"/>
      <c r="K30" s="654">
        <f>+K31+K40</f>
        <v>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 t="s">
        <v>1059</v>
      </c>
      <c r="E37" s="511"/>
      <c r="F37" s="511"/>
      <c r="G37" s="551"/>
      <c r="H37" s="511"/>
      <c r="I37" s="511"/>
      <c r="J37" s="551"/>
      <c r="K37" s="511">
        <v>0</v>
      </c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0</v>
      </c>
      <c r="F40" s="667">
        <f>+F41+F42</f>
        <v>0</v>
      </c>
      <c r="G40" s="668"/>
      <c r="H40" s="667">
        <f>+H41+H42</f>
        <v>0</v>
      </c>
      <c r="I40" s="667">
        <f>+I41+I42</f>
        <v>0</v>
      </c>
      <c r="J40" s="668"/>
      <c r="K40" s="667">
        <f>+K41+K42</f>
        <v>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/>
      <c r="F42" s="814"/>
      <c r="G42" s="815"/>
      <c r="H42" s="814"/>
      <c r="I42" s="814"/>
      <c r="J42" s="815"/>
      <c r="K42" s="814"/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0</v>
      </c>
      <c r="F43" s="674">
        <f>F16+F19+F30</f>
        <v>0</v>
      </c>
      <c r="G43" s="675"/>
      <c r="H43" s="674">
        <f>H16+H19+H30</f>
        <v>8977990.42</v>
      </c>
      <c r="I43" s="674">
        <f>I16+I19+I30</f>
        <v>0</v>
      </c>
      <c r="J43" s="675"/>
      <c r="K43" s="674">
        <f>K16+K19+K30</f>
        <v>165000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4" t="s">
        <v>567</v>
      </c>
      <c r="I45" s="1355"/>
      <c r="J45" s="1355"/>
      <c r="K45" s="1355"/>
      <c r="L45" s="1355"/>
      <c r="M45" s="1356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7"/>
      <c r="I46" s="1358"/>
      <c r="J46" s="1358"/>
      <c r="K46" s="1358"/>
      <c r="L46" s="1358"/>
      <c r="M46" s="1359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1" t="s">
        <v>1004</v>
      </c>
      <c r="D48" s="1272"/>
      <c r="E48" s="1273">
        <f>SUM(E49:E51)</f>
        <v>0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6"/>
      <c r="I50" s="703"/>
      <c r="J50" s="703"/>
      <c r="K50" s="703"/>
      <c r="L50" s="703"/>
      <c r="M50" s="124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7">
        <f>SUM(E53:E55)</f>
        <v>0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-3076.46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1" t="s">
        <v>1006</v>
      </c>
      <c r="D57" s="1272"/>
      <c r="E57" s="1273">
        <f>SUM(E58:E60)</f>
        <v>-3076.46</v>
      </c>
      <c r="F57" s="1273">
        <f>SUM(F58:F60)</f>
        <v>0</v>
      </c>
      <c r="G57" s="1273">
        <f>SUM(G58:G60)</f>
        <v>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1228" t="s">
        <v>1060</v>
      </c>
      <c r="D58" s="563"/>
      <c r="E58" s="583">
        <v>-3076.46</v>
      </c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6"/>
      <c r="I59" s="703"/>
      <c r="J59" s="703"/>
      <c r="K59" s="703"/>
      <c r="L59" s="703"/>
      <c r="M59" s="124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7">
        <f>SUM(E62:E64)</f>
        <v>0</v>
      </c>
      <c r="F61" s="1277">
        <f>SUM(F62:F64)</f>
        <v>0</v>
      </c>
      <c r="G61" s="1277">
        <f>SUM(G62:G64)</f>
        <v>0</v>
      </c>
      <c r="H61" s="1278"/>
      <c r="I61" s="1279"/>
      <c r="J61" s="1279"/>
      <c r="K61" s="1279"/>
      <c r="L61" s="1279"/>
      <c r="M61" s="1280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4" t="s">
        <v>567</v>
      </c>
      <c r="I66" s="1355"/>
      <c r="J66" s="1355"/>
      <c r="K66" s="1355"/>
      <c r="L66" s="1355"/>
      <c r="M66" s="1356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7"/>
      <c r="I67" s="1358"/>
      <c r="J67" s="1358"/>
      <c r="K67" s="1358"/>
      <c r="L67" s="1358"/>
      <c r="M67" s="1359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>
        <v>0</v>
      </c>
      <c r="F68" s="511">
        <v>0</v>
      </c>
      <c r="G68" s="817">
        <v>0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>
        <v>0</v>
      </c>
      <c r="F69" s="516">
        <v>0</v>
      </c>
      <c r="G69" s="584">
        <v>0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4" t="s">
        <v>567</v>
      </c>
      <c r="I71" s="1355"/>
      <c r="J71" s="1355"/>
      <c r="K71" s="1355"/>
      <c r="L71" s="1355"/>
      <c r="M71" s="1356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7"/>
      <c r="I72" s="1358"/>
      <c r="J72" s="1358"/>
      <c r="K72" s="1358"/>
      <c r="L72" s="1358"/>
      <c r="M72" s="1359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248.99</v>
      </c>
      <c r="F73" s="654">
        <f>SUM(F74:F76)</f>
        <v>0</v>
      </c>
      <c r="G73" s="654">
        <f>SUM(G74:G76)</f>
        <v>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>
        <v>248.99</v>
      </c>
      <c r="F76" s="515"/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10416.6</v>
      </c>
      <c r="F77" s="654">
        <f>SUM(F78:F83)</f>
        <v>10416.6</v>
      </c>
      <c r="G77" s="654">
        <f>SUM(G78:G83)</f>
        <v>10416.6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>
        <v>10416.6</v>
      </c>
      <c r="F82" s="583">
        <v>10416.6</v>
      </c>
      <c r="G82" s="583">
        <v>10416.6</v>
      </c>
      <c r="H82" s="1245" t="s">
        <v>1068</v>
      </c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3" t="s">
        <v>723</v>
      </c>
      <c r="D85" s="1364"/>
      <c r="E85" s="1365"/>
      <c r="F85" s="772" t="s">
        <v>411</v>
      </c>
      <c r="G85" s="679" t="s">
        <v>178</v>
      </c>
      <c r="H85" s="1361" t="s">
        <v>567</v>
      </c>
      <c r="I85" s="1361"/>
      <c r="J85" s="1361"/>
      <c r="K85" s="1361"/>
      <c r="L85" s="1361"/>
      <c r="M85" s="1361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6"/>
      <c r="D86" s="1367"/>
      <c r="E86" s="1368"/>
      <c r="F86" s="773" t="s">
        <v>724</v>
      </c>
      <c r="G86" s="680">
        <f>ejercicio</f>
        <v>2020</v>
      </c>
      <c r="H86" s="1362"/>
      <c r="I86" s="1362"/>
      <c r="J86" s="1362"/>
      <c r="K86" s="1362"/>
      <c r="L86" s="1362"/>
      <c r="M86" s="1362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69" t="s">
        <v>725</v>
      </c>
      <c r="D88" s="1370"/>
      <c r="E88" s="1371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2" t="s">
        <v>727</v>
      </c>
      <c r="D90" s="1373"/>
      <c r="E90" s="1374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6"/>
      <c r="D96" s="1346"/>
      <c r="E96" s="1346"/>
      <c r="F96" s="1346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3" r:id="rId2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view="pageBreakPreview" zoomScale="60" zoomScalePageLayoutView="0" workbookViewId="0" topLeftCell="A1">
      <selection activeCell="F74" sqref="F74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GESTIÓN INSULAR DE AGUAS DE TENERIFE, S.A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27364.1</v>
      </c>
      <c r="F16" s="325">
        <f>F17+F26+F30+F33+F40+F47+F48</f>
        <v>18615.95</v>
      </c>
      <c r="G16" s="339">
        <f>G17+G26+G30+G33+G40+G47+G48</f>
        <v>10045.855666666668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3211.08</v>
      </c>
      <c r="F17" s="326">
        <f>SUM(F18:F25)</f>
        <v>1529.75</v>
      </c>
      <c r="G17" s="341">
        <f>SUM(G18:G25)</f>
        <v>169.65983333333315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3211.08</v>
      </c>
      <c r="F22" s="458">
        <v>1529.75</v>
      </c>
      <c r="G22" s="459">
        <v>169.65983333333315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24153.019999999997</v>
      </c>
      <c r="F26" s="326">
        <f>SUM(F27:F29)</f>
        <v>17086.2</v>
      </c>
      <c r="G26" s="341">
        <f>SUM(G27:G29)</f>
        <v>9876.195833333335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24153.019999999997</v>
      </c>
      <c r="F28" s="458">
        <v>17086.2</v>
      </c>
      <c r="G28" s="459">
        <v>9876.195833333335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7365861.43</v>
      </c>
      <c r="F50" s="325">
        <f>F51+F52+F65+F75+F82+F89+F90</f>
        <v>99402.34</v>
      </c>
      <c r="G50" s="339">
        <f>G51+G52+G65+G75+G82+G89+G90</f>
        <v>106511.09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7075296.4799999995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5623788.43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>
        <v>5623788.43</v>
      </c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1451508.05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>
        <v>1451508.05</v>
      </c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2814.66</v>
      </c>
      <c r="F65" s="326">
        <f>F66+SUM(F69:F74)</f>
        <v>3009.04</v>
      </c>
      <c r="G65" s="341">
        <f>G66+SUM(G69:G74)</f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0</v>
      </c>
      <c r="F66" s="327">
        <f>F67+F68</f>
        <v>0</v>
      </c>
      <c r="G66" s="344">
        <f>G67+G68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/>
      <c r="F68" s="709"/>
      <c r="G68" s="710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0</v>
      </c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2814.66</v>
      </c>
      <c r="F73" s="458">
        <v>3009.04</v>
      </c>
      <c r="G73" s="459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32</v>
      </c>
      <c r="F89" s="461"/>
      <c r="G89" s="462"/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287718.29</v>
      </c>
      <c r="F90" s="326">
        <f>SUM(F91:F92)</f>
        <v>96393.3</v>
      </c>
      <c r="G90" s="341">
        <f>SUM(G91:G92)</f>
        <v>106511.09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287718.29</v>
      </c>
      <c r="F91" s="458">
        <v>96393.3</v>
      </c>
      <c r="G91" s="459">
        <v>106511.09</v>
      </c>
      <c r="H91" s="49"/>
      <c r="J91" s="422"/>
      <c r="K91" s="1239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7393225.529999999</v>
      </c>
      <c r="F94" s="329">
        <f>F50+F16</f>
        <v>118018.29</v>
      </c>
      <c r="G94" s="314">
        <f>G50+G16</f>
        <v>116556.94566666667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2"/>
      <c r="D95" s="1352"/>
      <c r="E95" s="1352"/>
      <c r="F95" s="1352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view="pageBreakPreview" zoomScale="60" zoomScalePageLayoutView="0" workbookViewId="0" topLeftCell="A13">
      <selection activeCell="F82" sqref="F8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GESTIÓN INSULAR DE AGUAS DE TENERIFE, S.A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117520.16999999943</v>
      </c>
      <c r="F16" s="130">
        <f>F17+F35+F41</f>
        <v>111994.26000000001</v>
      </c>
      <c r="G16" s="139">
        <f>G17+G35+G41</f>
        <v>111994.25800000093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117520.16999999943</v>
      </c>
      <c r="F17" s="131">
        <f>+F18+F21+F22+F27+F28+F31+F32+F33+F34</f>
        <v>111994.26000000001</v>
      </c>
      <c r="G17" s="141">
        <f>+G18+G21+G22+G27+G28+G31+G32+G33+G34</f>
        <v>111994.25800000093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60000</v>
      </c>
      <c r="F18" s="131">
        <f>SUM(F19:F20)</f>
        <v>60000</v>
      </c>
      <c r="G18" s="141">
        <f>SUM(G19:G20)</f>
        <v>60000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60000</v>
      </c>
      <c r="F19" s="450">
        <v>60000</v>
      </c>
      <c r="G19" s="466">
        <v>60000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-787.08</v>
      </c>
      <c r="F22" s="131">
        <f>SUM(F23:F26)</f>
        <v>-787.08</v>
      </c>
      <c r="G22" s="141">
        <f>SUM(G23:G26)</f>
        <v>-787.08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-787.08</v>
      </c>
      <c r="F24" s="451">
        <v>-787.08</v>
      </c>
      <c r="G24" s="467">
        <v>-787.08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-90797.67</v>
      </c>
      <c r="F28" s="131">
        <f>SUM(F29:F30)</f>
        <v>-142254.35</v>
      </c>
      <c r="G28" s="141">
        <f>SUM(G29:G30)</f>
        <v>-197680.10199999902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-90797.67</v>
      </c>
      <c r="F30" s="451">
        <v>-142254.35</v>
      </c>
      <c r="G30" s="467">
        <v>-197680.10199999902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200561.6</v>
      </c>
      <c r="F31" s="452">
        <v>250461.44</v>
      </c>
      <c r="G31" s="468">
        <v>300361.27999999997</v>
      </c>
      <c r="H31" s="49"/>
      <c r="J31" s="1337"/>
      <c r="K31" s="1338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-51456.68000000058</v>
      </c>
      <c r="F32" s="452">
        <v>-55425.75</v>
      </c>
      <c r="G32" s="468">
        <v>-49899.84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0</v>
      </c>
      <c r="F43" s="130">
        <f>F44+F49+SUM(F55:F59)</f>
        <v>0</v>
      </c>
      <c r="G43" s="139">
        <f>G44+G49+SUM(G55:G59)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7275705.359999999</v>
      </c>
      <c r="F61" s="130">
        <f>F62+F63+F66+F72+F73+F83+F84</f>
        <v>6024.03</v>
      </c>
      <c r="G61" s="139">
        <f>G62+G63+G66+G72+G73+G83+G84</f>
        <v>4562.69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7275705.359999999</v>
      </c>
      <c r="F73" s="131">
        <f>F74+SUM(F77:F82)</f>
        <v>6024.03</v>
      </c>
      <c r="G73" s="141">
        <f>G74+SUM(G77:G82)</f>
        <v>4562.69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650547.72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650547.72</v>
      </c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6270.35</v>
      </c>
      <c r="F78" s="451"/>
      <c r="G78" s="467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10035.61</v>
      </c>
      <c r="F81" s="451">
        <v>6024.03</v>
      </c>
      <c r="G81" s="467">
        <v>4562.69</v>
      </c>
      <c r="H81" s="49"/>
      <c r="J81" s="422"/>
      <c r="K81" s="1239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>
        <v>6608851.68</v>
      </c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7393225.529999998</v>
      </c>
      <c r="F86" s="135">
        <f>F16+F43+F61</f>
        <v>118018.29000000001</v>
      </c>
      <c r="G86" s="150">
        <f>G16+G43+G61</f>
        <v>116556.94800000094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2"/>
      <c r="D87" s="1352"/>
      <c r="E87" s="1352"/>
      <c r="F87" s="1352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view="pageBreakPreview" zoomScale="50" zoomScaleNormal="80" zoomScaleSheetLayoutView="50" zoomScalePageLayoutView="0" workbookViewId="0" topLeftCell="A43">
      <selection activeCell="I16" sqref="I16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GESTIÓN INSULAR DE AGUAS DE TENERIFE, S.A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78">
        <f>ejercicio-1</f>
        <v>2019</v>
      </c>
      <c r="D13" s="1380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985</v>
      </c>
      <c r="L13" s="1195" t="s">
        <v>964</v>
      </c>
      <c r="M13" s="1391"/>
      <c r="N13" s="1392"/>
      <c r="O13" s="1392"/>
      <c r="P13" s="1393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79"/>
      <c r="D14" s="1381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986</v>
      </c>
      <c r="L14" s="1197">
        <f>ejercicio-1</f>
        <v>2019</v>
      </c>
      <c r="M14" s="1394" t="s">
        <v>987</v>
      </c>
      <c r="N14" s="1395"/>
      <c r="O14" s="1395"/>
      <c r="P14" s="1396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397"/>
      <c r="N15" s="1398"/>
      <c r="O15" s="1398"/>
      <c r="P15" s="1399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117520.16999999943</v>
      </c>
      <c r="F16" s="1207">
        <f t="shared" si="0"/>
        <v>0</v>
      </c>
      <c r="G16" s="1207">
        <f t="shared" si="0"/>
        <v>0</v>
      </c>
      <c r="H16" s="1207">
        <f t="shared" si="0"/>
        <v>49899.84</v>
      </c>
      <c r="I16" s="1207">
        <f t="shared" si="0"/>
        <v>0</v>
      </c>
      <c r="J16" s="1207">
        <f t="shared" si="0"/>
        <v>0</v>
      </c>
      <c r="K16" s="1207">
        <f t="shared" si="0"/>
        <v>-55425.75433333304</v>
      </c>
      <c r="L16" s="1207">
        <f t="shared" si="0"/>
        <v>111994.25566666639</v>
      </c>
      <c r="M16" s="1400"/>
      <c r="N16" s="1401"/>
      <c r="O16" s="1401"/>
      <c r="P16" s="1402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60000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60000</v>
      </c>
      <c r="M17" s="1375"/>
      <c r="N17" s="1376"/>
      <c r="O17" s="1376"/>
      <c r="P17" s="1377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60000</v>
      </c>
      <c r="F18" s="450"/>
      <c r="G18" s="450"/>
      <c r="H18" s="450"/>
      <c r="I18" s="450"/>
      <c r="J18" s="450"/>
      <c r="K18" s="450"/>
      <c r="L18" s="1213">
        <f>SUM(E18:K18)</f>
        <v>60000</v>
      </c>
      <c r="M18" s="1388"/>
      <c r="N18" s="1389"/>
      <c r="O18" s="1389"/>
      <c r="P18" s="1390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82"/>
      <c r="N19" s="1383"/>
      <c r="O19" s="1383"/>
      <c r="P19" s="1384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0</v>
      </c>
      <c r="F20" s="452"/>
      <c r="G20" s="452"/>
      <c r="H20" s="452"/>
      <c r="I20" s="452"/>
      <c r="J20" s="452"/>
      <c r="K20" s="452"/>
      <c r="L20" s="1210">
        <f>SUM(E20:K20)</f>
        <v>0</v>
      </c>
      <c r="M20" s="1385"/>
      <c r="N20" s="1386"/>
      <c r="O20" s="1386"/>
      <c r="P20" s="1387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-787.08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0</v>
      </c>
      <c r="J21" s="1210">
        <f t="shared" si="2"/>
        <v>0</v>
      </c>
      <c r="K21" s="1210">
        <f t="shared" si="2"/>
        <v>0</v>
      </c>
      <c r="L21" s="1210">
        <f t="shared" si="2"/>
        <v>-787.08</v>
      </c>
      <c r="M21" s="1375"/>
      <c r="N21" s="1376"/>
      <c r="O21" s="1376"/>
      <c r="P21" s="1377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0</v>
      </c>
      <c r="F22" s="450"/>
      <c r="G22" s="450"/>
      <c r="H22" s="450"/>
      <c r="I22" s="450"/>
      <c r="J22" s="450"/>
      <c r="K22" s="450"/>
      <c r="L22" s="1213">
        <f>SUM(E22:K22)</f>
        <v>0</v>
      </c>
      <c r="M22" s="1388"/>
      <c r="N22" s="1389"/>
      <c r="O22" s="1389"/>
      <c r="P22" s="1390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-787.08</v>
      </c>
      <c r="F23" s="451"/>
      <c r="G23" s="451"/>
      <c r="H23" s="451"/>
      <c r="I23" s="451"/>
      <c r="J23" s="451"/>
      <c r="K23" s="451"/>
      <c r="L23" s="1216">
        <f>SUM(E23:K23)</f>
        <v>-787.08</v>
      </c>
      <c r="M23" s="1382"/>
      <c r="N23" s="1383"/>
      <c r="O23" s="1383"/>
      <c r="P23" s="1384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82"/>
      <c r="N24" s="1383"/>
      <c r="O24" s="1383"/>
      <c r="P24" s="1384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82"/>
      <c r="N25" s="1383"/>
      <c r="O25" s="1383"/>
      <c r="P25" s="1384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85"/>
      <c r="N26" s="1386"/>
      <c r="O26" s="1386"/>
      <c r="P26" s="1387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-90797.67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-51456.68000000058</v>
      </c>
      <c r="J27" s="1210">
        <f t="shared" si="3"/>
        <v>0</v>
      </c>
      <c r="K27" s="1210">
        <f t="shared" si="3"/>
        <v>0</v>
      </c>
      <c r="L27" s="1210">
        <f t="shared" si="3"/>
        <v>-142254.3500000006</v>
      </c>
      <c r="M27" s="1375"/>
      <c r="N27" s="1376"/>
      <c r="O27" s="1376"/>
      <c r="P27" s="1377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88"/>
      <c r="N28" s="1389"/>
      <c r="O28" s="1389"/>
      <c r="P28" s="1390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-90797.67</v>
      </c>
      <c r="F29" s="451"/>
      <c r="G29" s="451"/>
      <c r="H29" s="451"/>
      <c r="I29" s="451">
        <f>-I31</f>
        <v>-51456.68000000058</v>
      </c>
      <c r="J29" s="451"/>
      <c r="K29" s="451"/>
      <c r="L29" s="1216">
        <f t="shared" si="4"/>
        <v>-142254.3500000006</v>
      </c>
      <c r="M29" s="1382"/>
      <c r="N29" s="1383"/>
      <c r="O29" s="1383"/>
      <c r="P29" s="1384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200561.6</v>
      </c>
      <c r="F30" s="452"/>
      <c r="G30" s="452"/>
      <c r="H30" s="452">
        <v>49899.84</v>
      </c>
      <c r="I30" s="452"/>
      <c r="J30" s="452"/>
      <c r="K30" s="452"/>
      <c r="L30" s="1210">
        <f t="shared" si="4"/>
        <v>250461.44</v>
      </c>
      <c r="M30" s="1385"/>
      <c r="N30" s="1386"/>
      <c r="O30" s="1386"/>
      <c r="P30" s="1387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-51456.68000000058</v>
      </c>
      <c r="F31" s="452"/>
      <c r="G31" s="452"/>
      <c r="H31" s="452"/>
      <c r="I31" s="452">
        <f>-E31</f>
        <v>51456.68000000058</v>
      </c>
      <c r="J31" s="452"/>
      <c r="K31" s="452">
        <f>'FC-3_CPyG'!F84</f>
        <v>-55425.75433333304</v>
      </c>
      <c r="L31" s="1210">
        <f t="shared" si="4"/>
        <v>-55425.75433333304</v>
      </c>
      <c r="M31" s="1375"/>
      <c r="N31" s="1376"/>
      <c r="O31" s="1376"/>
      <c r="P31" s="1377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75"/>
      <c r="N32" s="1376"/>
      <c r="O32" s="1376"/>
      <c r="P32" s="1377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75"/>
      <c r="N33" s="1376"/>
      <c r="O33" s="1376"/>
      <c r="P33" s="1377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78">
        <f>ejercicio</f>
        <v>2020</v>
      </c>
      <c r="D35" s="1380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40" t="s">
        <v>985</v>
      </c>
      <c r="L35" s="1195" t="s">
        <v>964</v>
      </c>
      <c r="M35" s="1391"/>
      <c r="N35" s="1392"/>
      <c r="O35" s="1392"/>
      <c r="P35" s="1393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79"/>
      <c r="D36" s="1381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986</v>
      </c>
      <c r="L36" s="1197">
        <f>ejercicio</f>
        <v>2020</v>
      </c>
      <c r="M36" s="1394" t="s">
        <v>987</v>
      </c>
      <c r="N36" s="1395"/>
      <c r="O36" s="1395"/>
      <c r="P36" s="1396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397"/>
      <c r="N37" s="1398"/>
      <c r="O37" s="1398"/>
      <c r="P37" s="1399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111994.25566666639</v>
      </c>
      <c r="F38" s="1207">
        <f t="shared" si="5"/>
        <v>0</v>
      </c>
      <c r="G38" s="1207">
        <f t="shared" si="5"/>
        <v>0</v>
      </c>
      <c r="H38" s="1207">
        <f t="shared" si="5"/>
        <v>49899.83999999998</v>
      </c>
      <c r="I38" s="1207">
        <f t="shared" si="5"/>
        <v>0</v>
      </c>
      <c r="J38" s="1207">
        <f t="shared" si="5"/>
        <v>0</v>
      </c>
      <c r="K38" s="1207">
        <f t="shared" si="5"/>
        <v>-49899.83999999998</v>
      </c>
      <c r="L38" s="1207">
        <f t="shared" si="5"/>
        <v>111994.25566666636</v>
      </c>
      <c r="M38" s="1400"/>
      <c r="N38" s="1401"/>
      <c r="O38" s="1401"/>
      <c r="P38" s="1402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60000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60000</v>
      </c>
      <c r="M39" s="1375"/>
      <c r="N39" s="1376"/>
      <c r="O39" s="1376"/>
      <c r="P39" s="1377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60000</v>
      </c>
      <c r="F40" s="450"/>
      <c r="G40" s="450"/>
      <c r="H40" s="450"/>
      <c r="I40" s="450"/>
      <c r="J40" s="450"/>
      <c r="K40" s="450"/>
      <c r="L40" s="1213">
        <f>SUM(E40:K40)</f>
        <v>60000</v>
      </c>
      <c r="M40" s="1388"/>
      <c r="N40" s="1389"/>
      <c r="O40" s="1389"/>
      <c r="P40" s="1390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82"/>
      <c r="N41" s="1383"/>
      <c r="O41" s="1383"/>
      <c r="P41" s="1384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0</v>
      </c>
      <c r="F42" s="452"/>
      <c r="G42" s="452"/>
      <c r="H42" s="452"/>
      <c r="I42" s="452"/>
      <c r="J42" s="452"/>
      <c r="K42" s="452"/>
      <c r="L42" s="1210">
        <f>SUM(E42:K42)</f>
        <v>0</v>
      </c>
      <c r="M42" s="1385"/>
      <c r="N42" s="1386"/>
      <c r="O42" s="1386"/>
      <c r="P42" s="1387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-787.08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0</v>
      </c>
      <c r="J43" s="1210">
        <f t="shared" si="7"/>
        <v>0</v>
      </c>
      <c r="K43" s="1210">
        <f t="shared" si="7"/>
        <v>0</v>
      </c>
      <c r="L43" s="1210">
        <f t="shared" si="7"/>
        <v>-787.08</v>
      </c>
      <c r="M43" s="1375"/>
      <c r="N43" s="1376"/>
      <c r="O43" s="1376"/>
      <c r="P43" s="1377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0</v>
      </c>
      <c r="F44" s="450"/>
      <c r="G44" s="450"/>
      <c r="H44" s="450"/>
      <c r="I44" s="450"/>
      <c r="J44" s="450"/>
      <c r="K44" s="450"/>
      <c r="L44" s="1213">
        <f>SUM(E44:K44)</f>
        <v>0</v>
      </c>
      <c r="M44" s="1388"/>
      <c r="N44" s="1389"/>
      <c r="O44" s="1389"/>
      <c r="P44" s="1390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-787.08</v>
      </c>
      <c r="F45" s="451"/>
      <c r="G45" s="451"/>
      <c r="H45" s="451"/>
      <c r="I45" s="451"/>
      <c r="J45" s="451"/>
      <c r="K45" s="451"/>
      <c r="L45" s="1216">
        <f>SUM(E45:K45)</f>
        <v>-787.08</v>
      </c>
      <c r="M45" s="1382"/>
      <c r="N45" s="1383"/>
      <c r="O45" s="1383"/>
      <c r="P45" s="1384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82"/>
      <c r="N46" s="1383"/>
      <c r="O46" s="1383"/>
      <c r="P46" s="1384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82"/>
      <c r="N47" s="1383"/>
      <c r="O47" s="1383"/>
      <c r="P47" s="1384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85"/>
      <c r="N48" s="1386"/>
      <c r="O48" s="1386"/>
      <c r="P48" s="1387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-142254.3500000006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-55425.75433333304</v>
      </c>
      <c r="J49" s="1210">
        <f t="shared" si="8"/>
        <v>0</v>
      </c>
      <c r="K49" s="1210">
        <f t="shared" si="8"/>
        <v>0</v>
      </c>
      <c r="L49" s="1210">
        <f t="shared" si="8"/>
        <v>-197680.1043333336</v>
      </c>
      <c r="M49" s="1375"/>
      <c r="N49" s="1376"/>
      <c r="O49" s="1376"/>
      <c r="P49" s="1377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88"/>
      <c r="N50" s="1389"/>
      <c r="O50" s="1389"/>
      <c r="P50" s="1390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-142254.3500000006</v>
      </c>
      <c r="F51" s="451"/>
      <c r="G51" s="451"/>
      <c r="H51" s="451"/>
      <c r="I51" s="451">
        <f>-I53</f>
        <v>-55425.75433333304</v>
      </c>
      <c r="J51" s="451"/>
      <c r="K51" s="451"/>
      <c r="L51" s="1216">
        <f t="shared" si="10"/>
        <v>-197680.1043333336</v>
      </c>
      <c r="M51" s="1382"/>
      <c r="N51" s="1383"/>
      <c r="O51" s="1383"/>
      <c r="P51" s="1384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250461.44</v>
      </c>
      <c r="F52" s="452"/>
      <c r="G52" s="452"/>
      <c r="H52" s="452">
        <f>-'FC-3_CPyG'!G84</f>
        <v>49899.83999999998</v>
      </c>
      <c r="I52" s="452"/>
      <c r="J52" s="452"/>
      <c r="K52" s="452"/>
      <c r="L52" s="1210">
        <f t="shared" si="10"/>
        <v>300361.27999999997</v>
      </c>
      <c r="M52" s="1385"/>
      <c r="N52" s="1386"/>
      <c r="O52" s="1386"/>
      <c r="P52" s="1387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-55425.75433333304</v>
      </c>
      <c r="F53" s="452"/>
      <c r="G53" s="452"/>
      <c r="H53" s="452"/>
      <c r="I53" s="452">
        <f>-E53</f>
        <v>55425.75433333304</v>
      </c>
      <c r="J53" s="452"/>
      <c r="K53" s="452">
        <f>'FC-3_CPyG'!G84</f>
        <v>-49899.83999999998</v>
      </c>
      <c r="L53" s="1210">
        <f t="shared" si="10"/>
        <v>-49899.83999999998</v>
      </c>
      <c r="M53" s="1375"/>
      <c r="N53" s="1376"/>
      <c r="O53" s="1376"/>
      <c r="P53" s="1377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75"/>
      <c r="N54" s="1376"/>
      <c r="O54" s="1376"/>
      <c r="P54" s="1377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75"/>
      <c r="N55" s="1376"/>
      <c r="O55" s="1376"/>
      <c r="P55" s="1377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6"/>
      <c r="D58" s="1346"/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2019-12-01T09:57:38Z</cp:lastPrinted>
  <dcterms:created xsi:type="dcterms:W3CDTF">2017-09-18T15:25:23Z</dcterms:created>
  <dcterms:modified xsi:type="dcterms:W3CDTF">2020-03-11T11:05:19Z</dcterms:modified>
  <cp:category/>
  <cp:version/>
  <cp:contentType/>
  <cp:contentStatus/>
</cp:coreProperties>
</file>