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50" windowWidth="29040" windowHeight="13170" tabRatio="850" firstSheet="1" activeTab="10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'FC-9_TRANS_SUBV'!$B$1:$Q$124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<sst xmlns="http://schemas.openxmlformats.org/spreadsheetml/2006/main" count="2137" uniqueCount="1130">
  <si>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</si>
  <si>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</si>
  <si>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</si>
  <si>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</si>
  <si>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</si>
  <si>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</si>
  <si>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</si>
  <si>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</si>
  <si>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</si>
  <si>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</si>
  <si>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</si>
  <si>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</si>
  <si>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</si>
  <si>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</si>
  <si>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</si>
  <si>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</si>
  <si>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</si>
  <si>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</si>
  <si>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</si>
  <si>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</si>
  <si>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</si>
  <si>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</si>
  <si>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</si>
  <si>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</si>
  <si>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</si>
  <si>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</si>
  <si>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</si>
  <si>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</si>
  <si>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</si>
  <si>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</si>
  <si>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</si>
  <si>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</si>
  <si>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</si>
  <si>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</si>
  <si>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</si>
  <si>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</si>
  <si>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</si>
  <si>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</si>
  <si>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</si>
  <si>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</si>
  <si>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</si>
  <si>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</si>
  <si>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</si>
  <si>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</si>
  <si>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</si>
  <si>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</si>
  <si>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</si>
  <si>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</si>
  <si>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</si>
  <si>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</si>
  <si>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</si>
  <si>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</si>
  <si>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</si>
  <si>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</si>
  <si>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</si>
  <si>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</si>
  <si>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</si>
  <si>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</si>
  <si>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</si>
  <si>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</si>
  <si>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</si>
  <si>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</si>
  <si>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</si>
  <si>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</si>
  <si>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</si>
  <si>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</si>
  <si>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</si>
  <si>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</si>
  <si>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</si>
  <si>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</si>
  <si>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</si>
  <si>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</si>
  <si>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</si>
  <si>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</si>
  <si>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</si>
  <si>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</si>
  <si>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</si>
  <si>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</si>
  <si>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</si>
  <si>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</si>
  <si>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</si>
  <si>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</si>
  <si>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</si>
  <si>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</si>
  <si>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</si>
  <si>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</si>
  <si>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</si>
  <si>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</si>
  <si>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</si>
  <si>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</si>
  <si>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</si>
  <si>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</si>
  <si>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</si>
  <si>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</si>
  <si>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</si>
  <si>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</si>
  <si>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</si>
  <si>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</si>
  <si>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</si>
  <si>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</si>
  <si>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</si>
  <si>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</si>
  <si>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</si>
  <si>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</si>
  <si>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</si>
  <si>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</si>
  <si>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</si>
  <si>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</si>
  <si>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</si>
  <si>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</si>
  <si>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</si>
  <si>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</si>
  <si>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</si>
  <si>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</si>
  <si>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</si>
  <si>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</si>
  <si>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</si>
  <si>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</si>
  <si>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</si>
  <si>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</si>
  <si>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</si>
  <si>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</si>
  <si>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</si>
  <si>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</si>
  <si>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</si>
  <si>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</si>
  <si>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</si>
  <si>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</si>
  <si>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</si>
  <si>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</si>
  <si>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</si>
  <si>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</si>
  <si>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</si>
  <si>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</si>
  <si>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</si>
  <si>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</si>
  <si>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</si>
  <si>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</si>
  <si>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</si>
  <si>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</si>
  <si>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</si>
  <si>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</si>
  <si>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</si>
  <si>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</si>
  <si>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</si>
  <si>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</si>
  <si>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</si>
  <si>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</si>
  <si>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</si>
  <si>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</si>
  <si>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</si>
  <si>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</si>
  <si>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</si>
  <si>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</si>
  <si>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</si>
  <si>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</si>
  <si>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</si>
  <si>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</si>
  <si>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</si>
  <si>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</si>
  <si>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</si>
  <si>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</si>
  <si>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</si>
  <si>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</si>
  <si>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</si>
  <si>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</si>
  <si>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</si>
  <si>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</si>
  <si>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</si>
  <si>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</si>
  <si>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</si>
  <si>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</si>
  <si>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</si>
  <si>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</si>
  <si>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</si>
  <si>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</si>
  <si>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</si>
  <si>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</si>
  <si>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</si>
  <si>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</si>
  <si>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</si>
  <si>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</si>
  <si>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</si>
  <si>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</si>
  <si>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</si>
  <si>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</si>
  <si>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</si>
  <si>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</si>
  <si>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</si>
  <si>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</si>
  <si>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</si>
  <si>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</si>
  <si>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</si>
  <si>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</si>
  <si>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</si>
  <si>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</si>
  <si>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</si>
  <si>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</si>
  <si>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</si>
  <si>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</si>
  <si>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</si>
  <si>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</si>
  <si>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</si>
  <si>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</si>
  <si>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</si>
  <si>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</si>
  <si>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</si>
  <si>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</si>
  <si>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</si>
  <si>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</si>
  <si>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</si>
  <si>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</si>
  <si>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</si>
  <si>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</si>
  <si>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</si>
  <si>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</si>
  <si>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</si>
  <si>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</si>
  <si>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</si>
  <si>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</si>
  <si>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</si>
  <si>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</si>
  <si>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</si>
  <si>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</si>
  <si>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</si>
  <si>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</si>
  <si>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</si>
  <si>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</si>
  <si>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</si>
  <si>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</si>
  <si>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</si>
  <si>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</si>
  <si>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</si>
  <si>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</si>
  <si>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</si>
  <si>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</si>
  <si>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</si>
  <si>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</si>
  <si>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</si>
  <si>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</si>
  <si>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</si>
  <si>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</si>
  <si>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</si>
  <si>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</si>
  <si>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</si>
  <si>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</si>
  <si>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</si>
  <si>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</si>
  <si>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</si>
  <si>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</si>
  <si>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</si>
  <si>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</si>
  <si>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</si>
  <si>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</si>
  <si>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</si>
  <si>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</si>
  <si>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</si>
  <si>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</si>
  <si>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</si>
  <si>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</si>
  <si>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</si>
  <si>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</si>
  <si>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</si>
  <si>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</si>
  <si>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</si>
  <si>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</si>
  <si>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</si>
  <si>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</si>
  <si>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</si>
  <si>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</si>
  <si>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</si>
  <si>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</si>
  <si>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</si>
  <si>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</si>
  <si>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</si>
  <si>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</si>
  <si>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</si>
  <si>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</si>
  <si>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</si>
  <si>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</si>
  <si>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</si>
  <si>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</si>
  <si>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</si>
  <si>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</si>
  <si>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</si>
  <si>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</si>
  <si>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</si>
  <si>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</si>
  <si>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</si>
  <si>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</si>
  <si>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</si>
  <si>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</si>
  <si>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</si>
  <si>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</si>
  <si>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</si>
  <si>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</si>
  <si>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</si>
  <si>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</si>
  <si>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</si>
  <si>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</si>
  <si>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</si>
  <si>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</si>
  <si>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</si>
  <si>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</si>
  <si>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</si>
  <si>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</si>
  <si>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</si>
  <si>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</si>
  <si>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</si>
  <si>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</si>
  <si>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</si>
  <si>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</si>
  <si>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</si>
  <si>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</si>
  <si>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</si>
  <si>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</si>
  <si>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</si>
  <si>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</si>
  <si>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</si>
  <si>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</si>
  <si>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</si>
  <si>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</si>
  <si>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</si>
  <si>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</si>
  <si>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</si>
  <si>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</si>
  <si>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</si>
  <si>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</si>
  <si>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</si>
  <si>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</si>
  <si>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</si>
  <si>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</si>
  <si>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</si>
  <si>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</si>
  <si>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</si>
  <si>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</si>
  <si>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</si>
  <si>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</si>
  <si>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</si>
  <si>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</si>
  <si>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</si>
  <si>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</si>
  <si>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</si>
  <si>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</si>
  <si>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</si>
  <si>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</si>
  <si>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</si>
  <si>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</si>
  <si>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</si>
  <si>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</si>
  <si>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</si>
  <si>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</si>
  <si>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</si>
  <si>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</si>
  <si>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</si>
  <si>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</si>
  <si>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</si>
  <si>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</si>
  <si>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</si>
  <si>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</si>
  <si>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</si>
  <si>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</si>
  <si>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</si>
  <si>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</si>
  <si>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</si>
  <si>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</si>
  <si>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</si>
  <si>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</si>
  <si>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</si>
  <si>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</si>
  <si>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</si>
  <si>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</si>
  <si>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</si>
  <si>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</si>
  <si>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</si>
  <si>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</si>
  <si>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</si>
  <si>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</si>
  <si>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</si>
  <si>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</si>
  <si>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</si>
  <si>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</si>
  <si>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</si>
  <si>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</si>
  <si>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</si>
  <si>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</si>
  <si>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</si>
  <si>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</si>
  <si>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</si>
  <si>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</si>
  <si>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</si>
  <si>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</si>
  <si>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</si>
  <si>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</si>
  <si>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</si>
  <si>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</si>
  <si>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</si>
  <si>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</si>
  <si>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</si>
  <si>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</si>
  <si>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</si>
  <si>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</si>
  <si>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</si>
  <si>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</si>
  <si>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</si>
  <si>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</si>
  <si>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</si>
  <si>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</si>
  <si>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</si>
  <si>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</si>
  <si>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</si>
  <si>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</si>
  <si>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</si>
  <si>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</si>
  <si>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</si>
  <si>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</si>
  <si>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</si>
  <si>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</si>
  <si>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</si>
  <si>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</si>
  <si>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</si>
  <si>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</si>
  <si>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</si>
  <si>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</si>
  <si>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</si>
  <si>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</si>
  <si>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</si>
  <si>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</si>
  <si>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</si>
  <si>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</si>
  <si>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</si>
  <si>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</si>
  <si>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</si>
  <si>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</si>
  <si>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</si>
  <si>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</si>
  <si>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</si>
  <si>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</si>
  <si>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</si>
  <si>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</si>
  <si>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</si>
  <si>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</si>
  <si>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</si>
  <si>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</si>
  <si>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</si>
  <si>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</si>
  <si>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</si>
  <si>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</si>
  <si>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</si>
  <si>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</si>
  <si>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</si>
  <si>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</si>
  <si>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</si>
  <si>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</si>
  <si>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</si>
  <si>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</si>
  <si>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</si>
  <si>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</si>
  <si>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</si>
  <si>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</si>
  <si>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</si>
  <si>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</si>
  <si>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</si>
  <si>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</si>
  <si>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</si>
  <si>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</si>
  <si>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</si>
  <si>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</si>
  <si>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</si>
  <si>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</si>
  <si>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</si>
  <si>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</si>
  <si>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</si>
  <si>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</si>
  <si>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</si>
  <si>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</si>
  <si>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</si>
  <si>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</si>
  <si>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</si>
  <si>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</si>
  <si>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</si>
  <si>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</si>
  <si>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</si>
  <si>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</si>
  <si>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</si>
  <si>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</si>
  <si>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</si>
  <si>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</si>
  <si>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</si>
  <si>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</si>
  <si>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</si>
  <si>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</si>
  <si>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</si>
  <si>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</si>
  <si>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</si>
  <si>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</si>
  <si>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</si>
  <si>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</si>
  <si>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</si>
  <si>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</si>
  <si>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</si>
  <si>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</si>
  <si>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</si>
  <si>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</si>
  <si>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</si>
  <si>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</si>
  <si>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</si>
  <si>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</si>
  <si>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</si>
  <si>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</si>
  <si>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</si>
  <si>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</si>
  <si>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</si>
  <si>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</si>
  <si>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</si>
  <si>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</si>
  <si>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</si>
  <si>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</si>
  <si>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</si>
  <si>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</si>
  <si>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</si>
  <si>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</si>
  <si>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</si>
  <si>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</si>
  <si>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</si>
  <si>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</si>
  <si>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</si>
  <si>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</si>
  <si>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</si>
  <si>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</si>
  <si>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</si>
  <si>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</si>
  <si>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</si>
  <si>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</si>
  <si>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</si>
  <si>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</si>
  <si>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</si>
  <si>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</si>
  <si>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</si>
  <si>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</si>
  <si>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</si>
  <si>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</si>
  <si>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</si>
  <si>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</si>
  <si>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</si>
  <si>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</si>
  <si>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</si>
  <si>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</si>
  <si>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</si>
  <si>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</si>
  <si>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</si>
  <si>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</si>
  <si>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</si>
  <si>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</si>
  <si>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</si>
  <si>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</si>
  <si>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</si>
  <si>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</si>
  <si>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</si>
  <si>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</si>
  <si>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</si>
  <si>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</si>
  <si>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</si>
  <si>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</si>
  <si>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</si>
  <si>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</si>
  <si>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</si>
  <si>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</si>
  <si>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</si>
  <si>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</si>
  <si>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</si>
  <si>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</si>
  <si>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</si>
  <si>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</si>
  <si>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</si>
  <si>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</si>
  <si>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</si>
  <si>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</si>
  <si>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</si>
  <si>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</si>
  <si>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</si>
  <si>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</si>
  <si>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</si>
  <si>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</si>
  <si>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</si>
  <si>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</si>
  <si>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</si>
  <si>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</si>
  <si>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</si>
  <si>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</si>
  <si>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</si>
  <si>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</si>
  <si>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</si>
  <si>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</si>
  <si>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</si>
  <si>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</si>
  <si>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</si>
  <si>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</si>
  <si>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</si>
  <si>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</si>
  <si>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</si>
  <si>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</si>
  <si>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</si>
  <si>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</si>
  <si>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</si>
  <si>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</si>
  <si>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</si>
  <si>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</si>
  <si>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</si>
  <si>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</si>
  <si>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</si>
  <si>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</si>
  <si>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</si>
  <si>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</si>
  <si>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</si>
  <si>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</si>
  <si>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</si>
  <si>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</si>
  <si>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</si>
  <si>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</si>
  <si>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</si>
  <si>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</si>
  <si>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</si>
  <si>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</si>
  <si>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</si>
  <si>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</si>
  <si>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</si>
  <si>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</si>
  <si>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</si>
  <si>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</si>
  <si>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</si>
  <si>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</si>
  <si>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</si>
  <si>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</si>
  <si>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</si>
  <si>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</si>
  <si>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</si>
  <si>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</si>
  <si>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</si>
  <si>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</si>
  <si>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</si>
  <si>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</si>
  <si>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</si>
  <si>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</si>
  <si>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</si>
  <si>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</si>
  <si>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</si>
  <si>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</si>
  <si>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</si>
  <si>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</si>
  <si>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</si>
  <si>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</si>
  <si>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</si>
  <si>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</si>
  <si>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</si>
  <si>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</si>
  <si>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</si>
  <si>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</si>
  <si>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</si>
  <si>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</si>
  <si>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</si>
  <si>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</si>
  <si>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</si>
  <si>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</si>
  <si>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</si>
  <si>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</si>
  <si>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</si>
  <si>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</si>
  <si>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</si>
  <si>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</si>
  <si>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</si>
  <si>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</si>
  <si>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</si>
  <si>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</si>
  <si>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</si>
  <si>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</si>
  <si>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</si>
  <si>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</si>
  <si>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</si>
  <si>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</si>
  <si>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</si>
  <si>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</si>
  <si>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</si>
  <si>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</si>
  <si>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</si>
  <si>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</si>
  <si>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</si>
  <si>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</si>
  <si>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</si>
  <si>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</si>
  <si>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</si>
  <si>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</si>
  <si>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</si>
  <si>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</si>
  <si>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</si>
  <si>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</si>
  <si>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</si>
  <si>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</si>
  <si>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</si>
  <si>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</si>
  <si>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</si>
  <si>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</si>
  <si>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</si>
  <si>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</si>
  <si>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</si>
  <si>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</si>
  <si>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</si>
  <si>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</si>
  <si>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</si>
  <si>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</si>
  <si>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</si>
  <si>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</si>
  <si>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</si>
  <si>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</si>
  <si>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</si>
  <si>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</si>
  <si>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</si>
  <si>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</si>
  <si>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</si>
  <si>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</si>
  <si>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</si>
  <si>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</si>
  <si>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</si>
  <si>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</si>
  <si>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</si>
  <si>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</si>
  <si>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</si>
  <si>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</si>
  <si>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</si>
  <si>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</si>
  <si>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</si>
  <si>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</si>
  <si>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</si>
  <si>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</si>
  <si>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</si>
  <si>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</si>
  <si>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</si>
  <si>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</si>
  <si>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</si>
  <si>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</si>
  <si>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</si>
  <si>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</si>
  <si>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</si>
  <si>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</si>
  <si>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</si>
  <si>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</si>
  <si>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</si>
  <si>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</si>
  <si>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</si>
  <si>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</si>
  <si>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</si>
  <si>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</si>
  <si>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</si>
  <si>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</si>
  <si>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</si>
  <si>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</si>
  <si>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</si>
  <si>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</si>
  <si>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</si>
  <si>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</si>
  <si>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</si>
  <si>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</si>
  <si>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</si>
  <si>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</si>
  <si>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</si>
  <si>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</si>
  <si>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</si>
  <si>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</si>
  <si>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</si>
  <si>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</si>
  <si>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</si>
  <si>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</si>
  <si>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</si>
  <si>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</si>
  <si>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</si>
  <si>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</si>
  <si>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</si>
  <si>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</si>
  <si>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</si>
  <si>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</si>
  <si>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</si>
  <si>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</si>
  <si>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</si>
  <si>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</si>
  <si>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</si>
  <si>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</si>
  <si>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</si>
  <si>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</si>
  <si>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</si>
  <si>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</si>
  <si>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</si>
  <si>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</si>
  <si>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</si>
  <si>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</si>
  <si>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</si>
  <si>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</si>
  <si>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</si>
  <si>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</si>
  <si>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</si>
  <si>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</si>
  <si>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</si>
  <si>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</si>
  <si>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</si>
  <si>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</si>
  <si>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</si>
  <si>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</si>
  <si>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</si>
  <si>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</si>
  <si>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</si>
  <si>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</si>
  <si>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</si>
  <si>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</si>
  <si>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</si>
  <si>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</si>
  <si>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</si>
  <si>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</si>
  <si>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</si>
  <si>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</si>
  <si>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</si>
  <si>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</si>
  <si>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</si>
  <si>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</si>
  <si>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</si>
  <si>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</si>
  <si>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</si>
  <si>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</si>
  <si>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</si>
  <si>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</si>
  <si>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</si>
  <si>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</si>
  <si>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</si>
  <si>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</si>
  <si>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</si>
  <si>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</si>
  <si>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</si>
  <si>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</si>
  <si>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</si>
  <si>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</si>
  <si>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</si>
  <si>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</si>
  <si>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</si>
  <si>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</si>
  <si>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</si>
  <si>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</si>
  <si>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</si>
  <si>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</si>
  <si>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</si>
  <si>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</si>
  <si>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</si>
  <si>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</si>
  <si>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</si>
  <si>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</si>
  <si>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</si>
  <si>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</si>
  <si>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</si>
  <si>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</si>
  <si>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</si>
  <si>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</si>
  <si>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</si>
  <si>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</si>
  <si>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</si>
  <si>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</si>
  <si>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</si>
  <si>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</si>
  <si>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</si>
  <si>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</si>
  <si>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</si>
  <si>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</si>
  <si>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</si>
  <si>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</si>
  <si>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</si>
  <si>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</si>
  <si>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</si>
  <si>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</si>
  <si>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</si>
  <si>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</si>
  <si>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</si>
  <si>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</si>
  <si>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</si>
  <si>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</si>
  <si>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</si>
  <si>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</si>
  <si>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</si>
  <si>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</si>
  <si>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</si>
  <si>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</si>
  <si>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</si>
  <si>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</si>
  <si>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</si>
  <si>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</si>
  <si>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</si>
  <si>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</si>
  <si>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</si>
  <si>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</si>
  <si>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</si>
  <si>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</si>
  <si>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</si>
  <si>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</si>
  <si>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</si>
  <si>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</si>
  <si>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</si>
  <si>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</si>
  <si>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</si>
  <si>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</si>
  <si>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</si>
  <si>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</si>
  <si>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</si>
  <si>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</si>
  <si>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</si>
  <si>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</si>
  <si>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</si>
  <si>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</si>
  <si>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</si>
  <si>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</si>
  <si>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</si>
  <si>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</si>
  <si>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</si>
  <si>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</si>
  <si>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</si>
  <si>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</si>
  <si>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</si>
  <si>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</si>
  <si>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</si>
  <si>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</si>
  <si>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</si>
  <si>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</si>
  <si>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</si>
  <si>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</si>
  <si>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</si>
  <si>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</si>
  <si>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</si>
  <si>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</si>
  <si>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</si>
  <si>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</si>
  <si>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</si>
  <si>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</si>
  <si>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</si>
  <si>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</si>
  <si>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</si>
  <si>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</si>
  <si>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</si>
  <si>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</si>
  <si>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</si>
  <si>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</si>
  <si>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</si>
  <si>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</si>
  <si>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</si>
  <si>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</si>
  <si>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</si>
  <si>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</si>
  <si>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</si>
  <si>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</si>
  <si>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</si>
  <si>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</si>
  <si>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</si>
  <si>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</si>
  <si>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</si>
  <si>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</si>
  <si>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</si>
  <si>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</si>
  <si>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</si>
  <si>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</si>
  <si>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</si>
  <si>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</si>
  <si>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</si>
  <si>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</si>
  <si>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</si>
  <si>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</si>
  <si>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</si>
  <si>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</si>
  <si>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</si>
  <si>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</si>
  <si>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</si>
  <si>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</si>
  <si>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</si>
  <si>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</si>
  <si>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</si>
  <si>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</si>
  <si>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</si>
  <si>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</si>
  <si>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</si>
  <si>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</si>
  <si>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</si>
  <si>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</si>
  <si>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</si>
  <si>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</si>
  <si>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</si>
  <si>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</si>
  <si>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</si>
  <si>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</si>
  <si>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</si>
  <si>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</si>
  <si>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</si>
  <si>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</si>
  <si>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</si>
  <si>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</si>
  <si>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</si>
  <si>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</si>
  <si>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</si>
  <si>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</si>
  <si>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</si>
  <si>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</si>
  <si>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</si>
  <si>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</si>
  <si>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</si>
  <si>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</si>
  <si>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</si>
  <si>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</si>
  <si>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</si>
  <si>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</si>
  <si>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</si>
  <si>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</si>
  <si>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</si>
  <si>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</si>
  <si>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</si>
  <si>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</si>
  <si>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</si>
  <si>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</si>
  <si>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</si>
  <si>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</si>
  <si>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</si>
  <si>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</si>
  <si>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</si>
  <si>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</si>
  <si>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</si>
  <si>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</si>
  <si>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</si>
  <si>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</si>
  <si>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</si>
  <si>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</si>
  <si>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</si>
  <si>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</si>
  <si>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</si>
  <si>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</si>
  <si>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</si>
  <si>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</si>
  <si>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</si>
  <si>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</si>
  <si>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</si>
  <si>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</si>
  <si>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</si>
  <si>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</si>
  <si>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</si>
  <si>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</si>
  <si>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</si>
  <si>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</si>
  <si>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</si>
  <si>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</si>
  <si>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</si>
  <si>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</si>
  <si>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</si>
  <si>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</si>
  <si>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</si>
  <si>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</si>
  <si>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</si>
  <si>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</si>
  <si>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</si>
  <si>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Instituto Tecnológico y de Energías Renovables SA</t>
  </si>
  <si>
    <t>A38259115</t>
  </si>
  <si>
    <t>602 acciones</t>
  </si>
  <si>
    <t>única</t>
  </si>
  <si>
    <t xml:space="preserve">Parque Científico y Tecnológico </t>
  </si>
  <si>
    <t>Gobierno de Canarias</t>
  </si>
  <si>
    <t>INSTITUTO VOLCANOLOGICO DE CANARIAS SAU</t>
  </si>
  <si>
    <t>Iter</t>
  </si>
  <si>
    <t>Otros activ.fin.Prov.Fondos Reg.Mercantil</t>
  </si>
  <si>
    <t>LP Geotermia 2019</t>
  </si>
  <si>
    <t>Cabildo Insular de La Palma</t>
  </si>
  <si>
    <t>LP Geotermia anualidad 2018</t>
  </si>
  <si>
    <t>LP Volcano 2019</t>
  </si>
  <si>
    <t>TF Volcano 2019</t>
  </si>
  <si>
    <t>TF Geomecánica 2019</t>
  </si>
  <si>
    <t>CANvolcan</t>
  </si>
  <si>
    <t>Volriskmac II</t>
  </si>
  <si>
    <t>UE</t>
  </si>
  <si>
    <t xml:space="preserve">Volturmac </t>
  </si>
  <si>
    <t xml:space="preserve">LP Geotermia </t>
  </si>
  <si>
    <t>TF Volcano Disaster Assistance Team</t>
  </si>
  <si>
    <t>TF Resiliencia</t>
  </si>
  <si>
    <t>TF Geoturismo</t>
  </si>
  <si>
    <t>TF Geotermia</t>
  </si>
  <si>
    <t>TF Volcano</t>
  </si>
  <si>
    <t>Termovolcan</t>
  </si>
  <si>
    <t>Electrovolcan</t>
  </si>
  <si>
    <t>LP Volcano</t>
  </si>
  <si>
    <t>TF Feria</t>
  </si>
  <si>
    <t>TF Geomecánica</t>
  </si>
  <si>
    <t>CAN_geotermia_01</t>
  </si>
  <si>
    <t>Ayuda Personal técnico de Apoyo-PTA</t>
  </si>
  <si>
    <t>Volriskmac</t>
  </si>
  <si>
    <t>Volturmac</t>
  </si>
  <si>
    <t>GC Geotermia</t>
  </si>
  <si>
    <t>Cab.Ins.La Palma</t>
  </si>
  <si>
    <t>Estado</t>
  </si>
  <si>
    <t>Gob.Canarias</t>
  </si>
  <si>
    <t>Cab.Gran Canaria</t>
  </si>
  <si>
    <t>Garantías recibidas</t>
  </si>
  <si>
    <t>Liq.Deudas con empresas grupo</t>
  </si>
  <si>
    <t>5108/552</t>
  </si>
  <si>
    <t>No aplica</t>
  </si>
  <si>
    <t xml:space="preserve">No aplica </t>
  </si>
  <si>
    <t>Equipamiento proyecto TF Geotermia anualidad 2018</t>
  </si>
  <si>
    <t>Equipamiento proyecto Red Sismica Canaria anual.18</t>
  </si>
  <si>
    <t xml:space="preserve">Equipamiento proyecto Volriskmac </t>
  </si>
  <si>
    <t>Equipamiento proyecto LP Geotermia anualidad 2018</t>
  </si>
  <si>
    <t>Equipamiento proyecto TF Volcano anualidad 2018</t>
  </si>
  <si>
    <t>Equipamiento proyecto LP Geotermia anualidad 2019</t>
  </si>
  <si>
    <t>Equipamiento proyecto LP Volcano anualidad 2019</t>
  </si>
  <si>
    <t>Equipamiento Red Gravimétrica de Tenerife</t>
  </si>
  <si>
    <t>Equipamiento proyecto TF Geomecánica 2019</t>
  </si>
  <si>
    <t>Equipamiento proyecto Red Sismica Canaria anual.20</t>
  </si>
  <si>
    <t>Equipamiento proyecto Volturmac</t>
  </si>
  <si>
    <t>Equipamiento proyecto Volriskmac II</t>
  </si>
  <si>
    <t>Equipamiento proyecto LP Volcano</t>
  </si>
  <si>
    <t>Eduardo Ballesteros Ruíz-Benítez de Lugo</t>
  </si>
  <si>
    <t>No existe</t>
  </si>
  <si>
    <t>9 de octubre de 2015</t>
  </si>
  <si>
    <t>1122</t>
  </si>
  <si>
    <t>1351</t>
  </si>
  <si>
    <t>44936</t>
  </si>
  <si>
    <t>74147</t>
  </si>
  <si>
    <t>Otros ingresos de explotación</t>
  </si>
  <si>
    <t>Pendiente de nombramiento</t>
  </si>
  <si>
    <t>Investigación u otras actuaciones</t>
  </si>
  <si>
    <t>INSTITUTO TECNOLOGICO Y DE ENERGIAS RENOVABLES</t>
  </si>
  <si>
    <t>Aportación de socio</t>
  </si>
  <si>
    <t>Enrique Arriaga</t>
  </si>
  <si>
    <t>Javier Rodríguez Medina</t>
  </si>
  <si>
    <t xml:space="preserve"> Manuel Cendagorta-Galarza López</t>
  </si>
  <si>
    <t>Vacante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</si>
</sst>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37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91" fillId="33" borderId="197" xfId="0" applyNumberFormat="1" applyFont="1" applyFill="1" applyBorder="1" applyAlignment="1" applyProtection="1">
      <alignment vertical="center"/>
      <protection locked="0"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199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9" xfId="0" applyNumberFormat="1" applyFont="1" applyFill="1" applyBorder="1" applyAlignment="1" applyProtection="1">
      <alignment vertical="center"/>
      <protection/>
    </xf>
    <xf numFmtId="4" fontId="90" fillId="33" borderId="201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2" xfId="0" applyNumberFormat="1" applyFont="1" applyFill="1" applyBorder="1" applyAlignment="1" applyProtection="1">
      <alignment vertical="center"/>
      <protection/>
    </xf>
    <xf numFmtId="4" fontId="95" fillId="36" borderId="203" xfId="0" applyNumberFormat="1" applyFont="1" applyFill="1" applyBorder="1" applyAlignment="1" applyProtection="1">
      <alignment horizontal="center" vertical="center"/>
      <protection/>
    </xf>
    <xf numFmtId="4" fontId="92" fillId="36" borderId="203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4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5" xfId="0" applyNumberFormat="1" applyFont="1" applyFill="1" applyBorder="1" applyAlignment="1" applyProtection="1">
      <alignment horizontal="center" vertical="center"/>
      <protection locked="0"/>
    </xf>
    <xf numFmtId="4" fontId="123" fillId="33" borderId="204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2" xfId="0" applyFont="1" applyFill="1" applyBorder="1" applyAlignment="1">
      <alignment vertical="center"/>
    </xf>
    <xf numFmtId="0" fontId="95" fillId="36" borderId="203" xfId="0" applyFont="1" applyFill="1" applyBorder="1" applyAlignment="1">
      <alignment horizontal="center" vertical="center"/>
    </xf>
    <xf numFmtId="4" fontId="92" fillId="36" borderId="207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9" xfId="0" applyFont="1" applyFill="1" applyBorder="1" applyAlignment="1" applyProtection="1">
      <alignment vertical="center"/>
      <protection/>
    </xf>
    <xf numFmtId="0" fontId="91" fillId="33" borderId="210" xfId="0" applyFont="1" applyFill="1" applyBorder="1" applyAlignment="1" applyProtection="1">
      <alignment vertical="center"/>
      <protection/>
    </xf>
    <xf numFmtId="4" fontId="90" fillId="33" borderId="211" xfId="0" applyNumberFormat="1" applyFont="1" applyFill="1" applyBorder="1" applyAlignment="1" applyProtection="1">
      <alignment horizontal="righ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1" fillId="33" borderId="212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96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horizontal="left" vertical="center"/>
      <protection locked="0"/>
    </xf>
    <xf numFmtId="4" fontId="91" fillId="0" borderId="63" xfId="0" applyNumberFormat="1" applyFont="1" applyFill="1" applyBorder="1" applyAlignment="1" applyProtection="1">
      <alignment vertical="center"/>
      <protection locked="0"/>
    </xf>
    <xf numFmtId="4" fontId="100" fillId="0" borderId="0" xfId="0" applyNumberFormat="1" applyFont="1" applyFill="1" applyBorder="1" applyAlignment="1" applyProtection="1">
      <alignment horizontal="left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16" xfId="0" applyNumberFormat="1" applyFont="1" applyFill="1" applyBorder="1" applyAlignment="1" applyProtection="1">
      <alignment horizontal="left"/>
      <protection locked="0"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7" xfId="0" applyNumberFormat="1" applyFont="1" applyFill="1" applyBorder="1" applyAlignment="1" applyProtection="1">
      <alignment horizontal="left"/>
      <protection locked="0"/>
    </xf>
    <xf numFmtId="4" fontId="90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0" fillId="33" borderId="220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21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2" xfId="0" applyFont="1" applyFill="1" applyBorder="1" applyAlignment="1">
      <alignment horizontal="center" vertical="center"/>
    </xf>
    <xf numFmtId="0" fontId="90" fillId="33" borderId="223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224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7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7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7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4" fontId="126" fillId="39" borderId="227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10" fillId="39" borderId="227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  <xf numFmtId="4" fontId="55" fillId="33" borderId="228" xfId="0" applyNumberFormat="1" applyFont="1" applyFill="1" applyBorder="1" applyAlignment="1" applyProtection="1">
      <alignment horizontal="right" vertical="center"/>
      <protection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108" zoomScaleNormal="108" zoomScalePageLayoutView="0" workbookViewId="0" topLeftCell="A1">
      <selection activeCell="D13" sqref="D13:M13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</row>
    <row r="2" spans="4:25" s="2" customFormat="1" ht="22.5" customHeight="1">
      <c r="D2" s="1246" t="s">
        <v>1002</v>
      </c>
      <c r="O2" s="960"/>
      <c r="P2" s="960"/>
      <c r="Q2" s="960"/>
      <c r="R2" s="960"/>
      <c r="S2" s="960"/>
      <c r="T2" s="960"/>
      <c r="U2" s="960"/>
      <c r="V2" s="960"/>
      <c r="W2" s="960"/>
      <c r="X2" s="960"/>
      <c r="Y2" s="960"/>
    </row>
    <row r="3" spans="4:25" s="2" customFormat="1" ht="22.5" customHeight="1">
      <c r="D3" s="62" t="s">
        <v>31</v>
      </c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</row>
    <row r="4" spans="15:25" s="2" customFormat="1" ht="22.5" customHeight="1" thickBot="1">
      <c r="O4" s="960"/>
      <c r="P4" s="960"/>
      <c r="Q4" s="960"/>
      <c r="R4" s="960"/>
      <c r="S4" s="960"/>
      <c r="T4" s="960"/>
      <c r="U4" s="960"/>
      <c r="V4" s="960"/>
      <c r="W4" s="960"/>
      <c r="X4" s="960"/>
      <c r="Y4" s="960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0"/>
      <c r="P5" s="960"/>
      <c r="Q5" s="960"/>
      <c r="R5" s="960"/>
      <c r="S5" s="960"/>
      <c r="T5" s="960"/>
      <c r="U5" s="960"/>
      <c r="V5" s="960"/>
      <c r="W5" s="960"/>
      <c r="X5" s="960"/>
      <c r="Y5" s="960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44">
        <f>ejercicio</f>
        <v>2020</v>
      </c>
      <c r="N6" s="9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44"/>
      <c r="N7" s="9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</row>
    <row r="8" spans="2:25" s="2" customFormat="1" ht="30" customHeight="1">
      <c r="B8" s="8"/>
      <c r="N8" s="9"/>
      <c r="O8" s="960"/>
      <c r="P8" s="960"/>
      <c r="Q8" s="960"/>
      <c r="R8" s="960"/>
      <c r="S8" s="960"/>
      <c r="T8" s="960"/>
      <c r="U8" s="960"/>
      <c r="V8" s="960"/>
      <c r="W8" s="960"/>
      <c r="X8" s="960"/>
      <c r="Y8" s="960"/>
    </row>
    <row r="9" spans="2:25" s="2" customFormat="1" ht="30" customHeight="1">
      <c r="B9" s="8"/>
      <c r="N9" s="9"/>
      <c r="O9" s="960"/>
      <c r="P9" s="960"/>
      <c r="Q9" s="961"/>
      <c r="R9" s="961"/>
      <c r="S9" s="961"/>
      <c r="T9" s="961"/>
      <c r="U9" s="960"/>
      <c r="V9" s="960"/>
      <c r="W9" s="960"/>
      <c r="X9" s="960"/>
      <c r="Y9" s="960"/>
    </row>
    <row r="10" spans="2:25" s="2" customFormat="1" ht="6.75" customHeight="1">
      <c r="B10" s="8"/>
      <c r="N10" s="9"/>
      <c r="O10" s="960"/>
      <c r="P10" s="960"/>
      <c r="Q10" s="961"/>
      <c r="R10" s="961"/>
      <c r="S10" s="961"/>
      <c r="T10" s="961"/>
      <c r="U10" s="960"/>
      <c r="V10" s="960"/>
      <c r="W10" s="960"/>
      <c r="X10" s="960"/>
      <c r="Y10" s="960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2"/>
      <c r="P11" s="960"/>
      <c r="Q11" s="961"/>
      <c r="R11" s="961"/>
      <c r="S11" s="961"/>
      <c r="T11" s="961"/>
      <c r="U11" s="960"/>
      <c r="V11" s="960"/>
      <c r="W11" s="960"/>
      <c r="X11" s="960"/>
      <c r="Y11" s="960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60"/>
      <c r="P12" s="960"/>
      <c r="Q12" s="961"/>
      <c r="R12" s="961"/>
      <c r="S12" s="961"/>
      <c r="T12" s="961"/>
      <c r="U12" s="960"/>
      <c r="V12" s="960"/>
      <c r="W12" s="960"/>
      <c r="X12" s="960"/>
      <c r="Y12" s="960"/>
    </row>
    <row r="13" spans="2:25" s="15" customFormat="1" ht="30" customHeight="1">
      <c r="B13" s="8"/>
      <c r="C13" s="277" t="s">
        <v>33</v>
      </c>
      <c r="D13" s="1345" t="s">
        <v>1063</v>
      </c>
      <c r="E13" s="1346"/>
      <c r="F13" s="1346"/>
      <c r="G13" s="1346"/>
      <c r="H13" s="1346"/>
      <c r="I13" s="1346"/>
      <c r="J13" s="1346"/>
      <c r="K13" s="1346"/>
      <c r="L13" s="1346"/>
      <c r="M13" s="1347"/>
      <c r="N13" s="9"/>
      <c r="O13" s="963"/>
      <c r="P13" s="963"/>
      <c r="Q13" s="964"/>
      <c r="R13" s="964"/>
      <c r="S13" s="964"/>
      <c r="T13" s="964"/>
      <c r="U13" s="963"/>
      <c r="V13" s="963"/>
      <c r="W13" s="963"/>
      <c r="X13" s="963"/>
      <c r="Y13" s="963"/>
    </row>
    <row r="14" spans="2:25" s="15" customFormat="1" ht="30" customHeight="1">
      <c r="B14" s="8"/>
      <c r="C14" s="277" t="s">
        <v>942</v>
      </c>
      <c r="D14" s="1345" t="s">
        <v>944</v>
      </c>
      <c r="E14" s="1346"/>
      <c r="F14" s="1347"/>
      <c r="G14" s="404"/>
      <c r="H14" s="404"/>
      <c r="I14" s="14"/>
      <c r="J14" s="14"/>
      <c r="K14" s="14"/>
      <c r="L14" s="14"/>
      <c r="M14" s="14"/>
      <c r="N14" s="9"/>
      <c r="O14" s="963"/>
      <c r="P14" s="963"/>
      <c r="Q14" s="964"/>
      <c r="R14" s="964"/>
      <c r="S14" s="965" t="s">
        <v>943</v>
      </c>
      <c r="T14" s="964"/>
      <c r="U14" s="963"/>
      <c r="V14" s="963"/>
      <c r="W14" s="963"/>
      <c r="X14" s="963"/>
      <c r="Y14" s="963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0"/>
      <c r="P15" s="960"/>
      <c r="Q15" s="961"/>
      <c r="R15" s="961"/>
      <c r="S15" s="966" t="s">
        <v>944</v>
      </c>
      <c r="T15" s="961"/>
      <c r="U15" s="960"/>
      <c r="V15" s="960"/>
      <c r="W15" s="960"/>
      <c r="X15" s="960"/>
      <c r="Y15" s="960"/>
    </row>
    <row r="16" spans="2:25" s="2" customFormat="1" ht="30" customHeight="1">
      <c r="B16" s="8"/>
      <c r="C16" s="12"/>
      <c r="D16" s="1348"/>
      <c r="E16" s="1348"/>
      <c r="F16" s="1348"/>
      <c r="G16" s="1348"/>
      <c r="H16" s="1348"/>
      <c r="I16" s="1348"/>
      <c r="J16" s="1348"/>
      <c r="K16" s="1348"/>
      <c r="L16" s="1348"/>
      <c r="M16" s="1348"/>
      <c r="N16" s="9"/>
      <c r="O16" s="960"/>
      <c r="P16" s="960"/>
      <c r="Q16" s="961"/>
      <c r="R16" s="961"/>
      <c r="S16" s="961"/>
      <c r="T16" s="961"/>
      <c r="U16" s="960"/>
      <c r="V16" s="960"/>
      <c r="W16" s="960"/>
      <c r="X16" s="960"/>
      <c r="Y16" s="960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0"/>
      <c r="P17" s="960"/>
      <c r="Q17" s="961"/>
      <c r="R17" s="961"/>
      <c r="S17" s="961"/>
      <c r="T17" s="961"/>
      <c r="U17" s="960"/>
      <c r="V17" s="960"/>
      <c r="W17" s="960"/>
      <c r="X17" s="960"/>
      <c r="Y17" s="960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0"/>
      <c r="P18" s="960"/>
      <c r="Q18" s="961"/>
      <c r="R18" s="961"/>
      <c r="S18" s="961"/>
      <c r="T18" s="961"/>
      <c r="U18" s="960"/>
      <c r="V18" s="960"/>
      <c r="W18" s="960"/>
      <c r="X18" s="960"/>
      <c r="Y18" s="960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60"/>
      <c r="P19" s="960"/>
      <c r="Q19" s="961"/>
      <c r="R19" s="961"/>
      <c r="S19" s="961"/>
      <c r="T19" s="961"/>
      <c r="U19" s="960"/>
      <c r="V19" s="960"/>
      <c r="W19" s="960"/>
      <c r="X19" s="960"/>
      <c r="Y19" s="960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60"/>
      <c r="P20" s="960"/>
      <c r="Q20" s="961"/>
      <c r="R20" s="961"/>
      <c r="S20" s="961"/>
      <c r="T20" s="961"/>
      <c r="U20" s="960"/>
      <c r="V20" s="960"/>
      <c r="W20" s="960"/>
      <c r="X20" s="960"/>
      <c r="Y20" s="960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60"/>
      <c r="P21" s="960"/>
      <c r="Q21" s="961"/>
      <c r="R21" s="961"/>
      <c r="S21" s="961"/>
      <c r="T21" s="961"/>
      <c r="U21" s="960"/>
      <c r="V21" s="960"/>
      <c r="W21" s="960"/>
      <c r="X21" s="960"/>
      <c r="Y21" s="960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60"/>
      <c r="P22" s="960"/>
      <c r="Q22" s="961"/>
      <c r="R22" s="961"/>
      <c r="S22" s="961"/>
      <c r="T22" s="961"/>
      <c r="U22" s="960"/>
      <c r="V22" s="960"/>
      <c r="W22" s="960"/>
      <c r="X22" s="960"/>
      <c r="Y22" s="960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60"/>
      <c r="P23" s="960"/>
      <c r="Q23" s="961"/>
      <c r="R23" s="961"/>
      <c r="S23" s="961"/>
      <c r="T23" s="961"/>
      <c r="U23" s="960"/>
      <c r="V23" s="960"/>
      <c r="W23" s="960"/>
      <c r="X23" s="960"/>
      <c r="Y23" s="960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60"/>
      <c r="P25" s="960"/>
      <c r="Q25" s="960"/>
      <c r="R25" s="960"/>
      <c r="S25" s="960"/>
      <c r="T25" s="960"/>
      <c r="U25" s="960"/>
      <c r="V25" s="960"/>
      <c r="W25" s="960"/>
      <c r="X25" s="960"/>
      <c r="Y25" s="960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60"/>
      <c r="P26" s="960"/>
      <c r="Q26" s="960"/>
      <c r="R26" s="960"/>
      <c r="S26" s="960"/>
      <c r="T26" s="960"/>
      <c r="U26" s="960"/>
      <c r="V26" s="960"/>
      <c r="W26" s="960"/>
      <c r="X26" s="960"/>
      <c r="Y26" s="960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60"/>
      <c r="P27" s="960"/>
      <c r="Q27" s="960"/>
      <c r="R27" s="960"/>
      <c r="S27" s="960"/>
      <c r="T27" s="960"/>
      <c r="U27" s="960"/>
      <c r="V27" s="960"/>
      <c r="W27" s="960"/>
      <c r="X27" s="960"/>
      <c r="Y27" s="960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60"/>
      <c r="P28" s="960"/>
      <c r="Q28" s="960"/>
      <c r="R28" s="960"/>
      <c r="S28" s="960"/>
      <c r="T28" s="960"/>
      <c r="U28" s="960"/>
      <c r="V28" s="960"/>
      <c r="W28" s="960"/>
      <c r="X28" s="960"/>
      <c r="Y28" s="960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60"/>
      <c r="P29" s="960"/>
      <c r="Q29" s="960"/>
      <c r="R29" s="960"/>
      <c r="S29" s="960"/>
      <c r="T29" s="960"/>
      <c r="U29" s="960"/>
      <c r="V29" s="960"/>
      <c r="W29" s="960"/>
      <c r="X29" s="960"/>
      <c r="Y29" s="960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60"/>
      <c r="P30" s="960"/>
      <c r="Q30" s="960"/>
      <c r="R30" s="960"/>
      <c r="S30" s="960"/>
      <c r="T30" s="960"/>
      <c r="U30" s="960"/>
      <c r="V30" s="960"/>
      <c r="W30" s="960"/>
      <c r="X30" s="960"/>
      <c r="Y30" s="960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60"/>
      <c r="P31" s="960"/>
      <c r="Q31" s="960"/>
      <c r="R31" s="960"/>
      <c r="S31" s="960"/>
      <c r="T31" s="960"/>
      <c r="U31" s="960"/>
      <c r="V31" s="960"/>
      <c r="W31" s="960"/>
      <c r="X31" s="960"/>
      <c r="Y31" s="960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60"/>
      <c r="P32" s="960"/>
      <c r="Q32" s="960"/>
      <c r="R32" s="960"/>
      <c r="S32" s="960"/>
      <c r="T32" s="960"/>
      <c r="U32" s="960"/>
      <c r="V32" s="960"/>
      <c r="W32" s="960"/>
      <c r="X32" s="960"/>
      <c r="Y32" s="960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60"/>
      <c r="P33" s="960"/>
      <c r="Q33" s="960"/>
      <c r="R33" s="960"/>
      <c r="S33" s="960"/>
      <c r="T33" s="960"/>
      <c r="U33" s="960"/>
      <c r="V33" s="960"/>
      <c r="W33" s="960"/>
      <c r="X33" s="960"/>
      <c r="Y33" s="960"/>
    </row>
    <row r="34" spans="2:25" s="2" customFormat="1" ht="24.75" customHeight="1">
      <c r="B34" s="8"/>
      <c r="C34" s="405" t="s">
        <v>671</v>
      </c>
      <c r="D34" s="958" t="s">
        <v>1015</v>
      </c>
      <c r="N34" s="9"/>
      <c r="O34" s="960"/>
      <c r="P34" s="960"/>
      <c r="Q34" s="960"/>
      <c r="R34" s="960"/>
      <c r="S34" s="960"/>
      <c r="T34" s="960"/>
      <c r="U34" s="960"/>
      <c r="V34" s="960"/>
      <c r="W34" s="960"/>
      <c r="X34" s="960"/>
      <c r="Y34" s="960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60"/>
      <c r="P35" s="960"/>
      <c r="Q35" s="960"/>
      <c r="R35" s="960"/>
      <c r="S35" s="960"/>
      <c r="T35" s="960"/>
      <c r="U35" s="960"/>
      <c r="V35" s="960"/>
      <c r="W35" s="960"/>
      <c r="X35" s="960"/>
      <c r="Y35" s="960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8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PageLayoutView="0" workbookViewId="0" topLeftCell="A59">
      <selection activeCell="Q52" sqref="Q52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9.5546875" style="41" customWidth="1"/>
    <col min="4" max="4" width="5.5546875" style="41" customWidth="1"/>
    <col min="5" max="5" width="69.777343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44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44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58" t="str">
        <f>Entidad</f>
        <v>INSTITUTO VOLCANOLOGICO DE CANARIAS SAU</v>
      </c>
      <c r="E9" s="1358"/>
      <c r="F9" s="1358"/>
      <c r="G9" s="1358"/>
      <c r="H9" s="1358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59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29209.48999999996</v>
      </c>
      <c r="G16" s="554">
        <f>'FC-3_CPyG'!F76</f>
        <v>-164911.68999999994</v>
      </c>
      <c r="H16" s="554">
        <f>'FC-3_CPyG'!G76</f>
        <v>-353373.5199999999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/>
      <c r="G18" s="471"/>
      <c r="H18" s="471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/>
      <c r="G24" s="471"/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/>
      <c r="G31" s="471"/>
      <c r="H31" s="471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/>
      <c r="G33" s="471"/>
      <c r="H33" s="471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/>
      <c r="G39" s="471"/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29209.48999999996</v>
      </c>
      <c r="G42" s="399">
        <f>G16+G17+G29+G36</f>
        <v>-164911.68999999994</v>
      </c>
      <c r="H42" s="399">
        <f>H16+H17+H29+H36</f>
        <v>-353373.5199999999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/>
      <c r="G48" s="471"/>
      <c r="H48" s="471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29209.48999999996</v>
      </c>
      <c r="G92" s="399">
        <f>+G42+G63+G88+G90</f>
        <v>-164911.68999999994</v>
      </c>
      <c r="H92" s="399">
        <f>+H42+H63+H88+H90</f>
        <v>-353373.5199999999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0</v>
      </c>
      <c r="G94" s="403">
        <f>+F95</f>
        <v>143636.12</v>
      </c>
      <c r="H94" s="403">
        <f>+G95</f>
        <v>513788.67</v>
      </c>
      <c r="I94" s="49"/>
      <c r="K94" s="1236"/>
      <c r="L94" s="1237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143636.12</v>
      </c>
      <c r="G95" s="399">
        <f>+'FC-4_ACTIVO'!F90</f>
        <v>513788.67</v>
      </c>
      <c r="H95" s="399">
        <f>+'FC-4_ACTIVO'!G90</f>
        <v>16933.56</v>
      </c>
      <c r="I95" s="49"/>
      <c r="K95" s="1236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20"/>
      <c r="D96" s="821"/>
      <c r="E96" s="821"/>
      <c r="F96" s="822"/>
      <c r="G96" s="822"/>
      <c r="H96" s="822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1"/>
      <c r="E97" s="821"/>
      <c r="F97" s="822"/>
      <c r="G97" s="822"/>
      <c r="H97" s="822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3" t="s">
        <v>769</v>
      </c>
      <c r="D98" s="821"/>
      <c r="E98" s="821"/>
      <c r="F98" s="822"/>
      <c r="G98" s="822"/>
      <c r="H98" s="822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20"/>
      <c r="D99" s="821"/>
      <c r="E99" s="821"/>
      <c r="F99" s="822"/>
      <c r="G99" s="822"/>
      <c r="H99" s="822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57"/>
      <c r="D100" s="1357"/>
      <c r="E100" s="1357"/>
      <c r="F100" s="1357"/>
      <c r="G100" s="1357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11C1FF"/>
    <pageSetUpPr fitToPage="1"/>
  </sheetPr>
  <dimension ref="A2:AH66"/>
  <sheetViews>
    <sheetView tabSelected="1" zoomScale="84" zoomScaleNormal="84" zoomScalePageLayoutView="0" workbookViewId="0" topLeftCell="A1">
      <selection activeCell="D20" sqref="D20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42.77734375" style="96" customWidth="1"/>
    <col min="5" max="5" width="12.77734375" style="97" customWidth="1"/>
    <col min="6" max="6" width="17.214843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44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44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58" t="str">
        <f>Entidad</f>
        <v>INSTITUTO VOLCANOLOGICO DE CANARIAS SAU</v>
      </c>
      <c r="E9" s="1358"/>
      <c r="F9" s="1358"/>
      <c r="G9" s="1358"/>
      <c r="H9" s="1358"/>
      <c r="I9" s="1358"/>
      <c r="J9" s="1358"/>
      <c r="K9" s="1358"/>
      <c r="L9" s="1358"/>
      <c r="M9" s="1358"/>
      <c r="N9" s="1358"/>
      <c r="O9" s="1358"/>
      <c r="P9" s="1358"/>
      <c r="Q9" s="1358"/>
      <c r="R9" s="1358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08" t="s">
        <v>738</v>
      </c>
      <c r="J13" s="1409"/>
      <c r="K13" s="1409"/>
      <c r="L13" s="1409"/>
      <c r="M13" s="1410"/>
      <c r="N13" s="375"/>
      <c r="O13" s="376"/>
      <c r="P13" s="377" t="s">
        <v>383</v>
      </c>
      <c r="Q13" s="378">
        <f>ejercicio-1</f>
        <v>2019</v>
      </c>
      <c r="R13" s="787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>
        <v>1</v>
      </c>
      <c r="D16" s="1223" t="s">
        <v>1101</v>
      </c>
      <c r="E16" s="475">
        <v>2018</v>
      </c>
      <c r="F16" s="475">
        <v>2019</v>
      </c>
      <c r="G16" s="476">
        <v>476868.75</v>
      </c>
      <c r="H16" s="476">
        <v>476868.75</v>
      </c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>
        <v>2</v>
      </c>
      <c r="D17" s="1224" t="s">
        <v>1102</v>
      </c>
      <c r="E17" s="479">
        <v>2018</v>
      </c>
      <c r="F17" s="479">
        <v>2019</v>
      </c>
      <c r="G17" s="480">
        <v>100000</v>
      </c>
      <c r="H17" s="480">
        <v>100000</v>
      </c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>
        <v>3</v>
      </c>
      <c r="D18" s="1224" t="s">
        <v>1103</v>
      </c>
      <c r="E18" s="479">
        <v>2017</v>
      </c>
      <c r="F18" s="479">
        <v>2020</v>
      </c>
      <c r="G18" s="480">
        <v>66120.08</v>
      </c>
      <c r="H18" s="480">
        <v>66120.08</v>
      </c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>
        <v>4</v>
      </c>
      <c r="D19" s="1224" t="s">
        <v>1104</v>
      </c>
      <c r="E19" s="479">
        <v>2018</v>
      </c>
      <c r="F19" s="479">
        <v>2019</v>
      </c>
      <c r="G19" s="480">
        <v>44000</v>
      </c>
      <c r="H19" s="480">
        <v>44000</v>
      </c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>
        <v>5</v>
      </c>
      <c r="D20" s="1224" t="s">
        <v>1105</v>
      </c>
      <c r="E20" s="479">
        <v>2018</v>
      </c>
      <c r="F20" s="479">
        <v>2019</v>
      </c>
      <c r="G20" s="480">
        <v>389637.75</v>
      </c>
      <c r="H20" s="480">
        <v>389637.75</v>
      </c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>
        <v>6</v>
      </c>
      <c r="D21" s="1224" t="s">
        <v>1106</v>
      </c>
      <c r="E21" s="479">
        <v>2019</v>
      </c>
      <c r="F21" s="479">
        <v>2019</v>
      </c>
      <c r="G21" s="480">
        <v>44000</v>
      </c>
      <c r="H21" s="480">
        <v>44000</v>
      </c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>
        <v>7</v>
      </c>
      <c r="D22" s="1224" t="s">
        <v>1107</v>
      </c>
      <c r="E22" s="479">
        <v>2019</v>
      </c>
      <c r="F22" s="479">
        <v>2019</v>
      </c>
      <c r="G22" s="480">
        <v>8000</v>
      </c>
      <c r="H22" s="480">
        <v>8000</v>
      </c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>
        <v>8</v>
      </c>
      <c r="D23" s="1224" t="s">
        <v>1108</v>
      </c>
      <c r="E23" s="479">
        <v>2018</v>
      </c>
      <c r="F23" s="479">
        <v>2019</v>
      </c>
      <c r="G23" s="480">
        <v>1195000</v>
      </c>
      <c r="H23" s="480">
        <v>1195000</v>
      </c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>
        <v>9</v>
      </c>
      <c r="D24" s="1224" t="s">
        <v>1109</v>
      </c>
      <c r="E24" s="479">
        <v>2019</v>
      </c>
      <c r="F24" s="479">
        <v>2019</v>
      </c>
      <c r="G24" s="480">
        <v>5000</v>
      </c>
      <c r="H24" s="480">
        <v>5000</v>
      </c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>
        <v>10</v>
      </c>
      <c r="D25" s="1224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>
        <v>11</v>
      </c>
      <c r="D26" s="1224" t="s">
        <v>1110</v>
      </c>
      <c r="E26" s="479">
        <v>2020</v>
      </c>
      <c r="F26" s="479">
        <v>2020</v>
      </c>
      <c r="G26" s="480">
        <v>100000</v>
      </c>
      <c r="H26" s="480"/>
      <c r="I26" s="480">
        <v>100000</v>
      </c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>
        <v>12</v>
      </c>
      <c r="D27" s="1224" t="s">
        <v>1111</v>
      </c>
      <c r="E27" s="479">
        <v>2020</v>
      </c>
      <c r="F27" s="479">
        <v>2023</v>
      </c>
      <c r="G27" s="480">
        <v>15757.28</v>
      </c>
      <c r="H27" s="480"/>
      <c r="I27" s="480">
        <v>9921.7</v>
      </c>
      <c r="J27" s="480">
        <v>1450</v>
      </c>
      <c r="K27" s="480">
        <v>1450</v>
      </c>
      <c r="L27" s="480">
        <v>2935.58</v>
      </c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>
        <v>13</v>
      </c>
      <c r="D28" s="1224" t="s">
        <v>1112</v>
      </c>
      <c r="E28" s="479">
        <v>2020</v>
      </c>
      <c r="F28" s="479">
        <v>2023</v>
      </c>
      <c r="G28" s="480">
        <v>148905.21</v>
      </c>
      <c r="H28" s="480"/>
      <c r="I28" s="480">
        <v>148905.21</v>
      </c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>
        <v>14</v>
      </c>
      <c r="D29" s="1224" t="s">
        <v>1113</v>
      </c>
      <c r="E29" s="479">
        <v>2020</v>
      </c>
      <c r="F29" s="479">
        <v>2020</v>
      </c>
      <c r="G29" s="480">
        <v>8000</v>
      </c>
      <c r="H29" s="480"/>
      <c r="I29" s="480">
        <v>8000</v>
      </c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11" t="s">
        <v>384</v>
      </c>
      <c r="D46" s="1412"/>
      <c r="E46" s="125">
        <f>MIN(E16:E45)</f>
        <v>2017</v>
      </c>
      <c r="F46" s="125">
        <f>MAX(F16:F45)</f>
        <v>2023</v>
      </c>
      <c r="G46" s="126">
        <f aca="true" t="shared" si="0" ref="G46:R46">SUM(G16:G45)</f>
        <v>2601289.07</v>
      </c>
      <c r="H46" s="126">
        <f t="shared" si="0"/>
        <v>2328626.58</v>
      </c>
      <c r="I46" s="126">
        <f t="shared" si="0"/>
        <v>266826.91</v>
      </c>
      <c r="J46" s="126">
        <f t="shared" si="0"/>
        <v>1450</v>
      </c>
      <c r="K46" s="126">
        <f t="shared" si="0"/>
        <v>1450</v>
      </c>
      <c r="L46" s="126">
        <f t="shared" si="0"/>
        <v>2935.58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80"/>
      <c r="D47" s="780"/>
      <c r="E47" s="781"/>
      <c r="F47" s="781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2" t="s">
        <v>729</v>
      </c>
      <c r="D48" s="780"/>
      <c r="E48" s="781"/>
      <c r="F48" s="781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3" t="s">
        <v>730</v>
      </c>
      <c r="D49" s="780"/>
      <c r="E49" s="781"/>
      <c r="F49" s="784">
        <f>ejercicio-1</f>
        <v>2019</v>
      </c>
      <c r="G49" s="785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6" t="s">
        <v>732</v>
      </c>
      <c r="D50" s="780"/>
      <c r="E50" s="781"/>
      <c r="F50" s="781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3" t="s">
        <v>735</v>
      </c>
      <c r="D51" s="780"/>
      <c r="E51" s="781"/>
      <c r="F51" s="781"/>
      <c r="G51" s="784">
        <f>ejercicio-1</f>
        <v>2019</v>
      </c>
      <c r="H51" s="785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3" t="s">
        <v>737</v>
      </c>
      <c r="D52" s="780"/>
      <c r="E52" s="781"/>
      <c r="F52" s="781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3" t="s">
        <v>741</v>
      </c>
      <c r="D53" s="780"/>
      <c r="E53" s="781"/>
      <c r="F53" s="781"/>
      <c r="G53" s="784">
        <f>ejercicio-1</f>
        <v>2019</v>
      </c>
      <c r="H53" s="785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80"/>
      <c r="D54" s="780"/>
      <c r="E54" s="781"/>
      <c r="F54" s="781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57"/>
      <c r="D55" s="1357"/>
      <c r="E55" s="1357"/>
      <c r="F55" s="1357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11C1FF"/>
    <pageSetUpPr fitToPage="1"/>
  </sheetPr>
  <dimension ref="A2:AE58"/>
  <sheetViews>
    <sheetView zoomScale="94" zoomScaleNormal="94" zoomScalePageLayoutView="125" workbookViewId="0" topLeftCell="A25">
      <selection activeCell="I28" sqref="I2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4" width="13.445312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44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44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58" t="str">
        <f>Entidad</f>
        <v>INSTITUTO VOLCANOLOGICO DE CANARIAS SAU</v>
      </c>
      <c r="E9" s="1358"/>
      <c r="F9" s="1358"/>
      <c r="G9" s="1358"/>
      <c r="H9" s="1358"/>
      <c r="I9" s="1358"/>
      <c r="J9" s="1358"/>
      <c r="K9" s="1358"/>
      <c r="L9" s="1358"/>
      <c r="M9" s="1358"/>
      <c r="N9" s="1358"/>
      <c r="O9" s="1358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13"/>
      <c r="D13" s="1414"/>
      <c r="E13" s="197" t="s">
        <v>406</v>
      </c>
      <c r="F13" s="1417" t="s">
        <v>396</v>
      </c>
      <c r="G13" s="1418"/>
      <c r="H13" s="1418"/>
      <c r="I13" s="1418"/>
      <c r="J13" s="1418"/>
      <c r="K13" s="1418"/>
      <c r="L13" s="1419"/>
      <c r="M13" s="197" t="s">
        <v>407</v>
      </c>
      <c r="N13" s="197"/>
      <c r="O13" s="1415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3" t="s">
        <v>1021</v>
      </c>
      <c r="O14" s="1416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>
        <v>9037.18</v>
      </c>
      <c r="F15" s="482"/>
      <c r="G15" s="483"/>
      <c r="H15" s="483"/>
      <c r="I15" s="483">
        <v>-5480</v>
      </c>
      <c r="J15" s="483"/>
      <c r="K15" s="483"/>
      <c r="L15" s="484"/>
      <c r="M15" s="172">
        <f>SUM(E15:L15)</f>
        <v>3557.1800000000003</v>
      </c>
      <c r="N15" s="1294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>SUM(E16:L16)</f>
        <v>0</v>
      </c>
      <c r="N16" s="1295"/>
      <c r="O16" s="791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631951.94</v>
      </c>
      <c r="F17" s="486">
        <v>2304336.15</v>
      </c>
      <c r="G17" s="487"/>
      <c r="H17" s="487"/>
      <c r="I17" s="487">
        <v>-178656.99</v>
      </c>
      <c r="J17" s="487"/>
      <c r="K17" s="487"/>
      <c r="L17" s="488"/>
      <c r="M17" s="176">
        <f>SUM(E17:L17)</f>
        <v>2757631.0999999996</v>
      </c>
      <c r="N17" s="1295"/>
      <c r="O17" s="791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295"/>
      <c r="O18" s="791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296"/>
      <c r="O19" s="792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640989.12</v>
      </c>
      <c r="F20" s="175">
        <f aca="true" t="shared" si="0" ref="F20:N20">SUM(F15:F19)</f>
        <v>2304336.15</v>
      </c>
      <c r="G20" s="175">
        <f t="shared" si="0"/>
        <v>0</v>
      </c>
      <c r="H20" s="175">
        <f t="shared" si="0"/>
        <v>0</v>
      </c>
      <c r="I20" s="175">
        <f t="shared" si="0"/>
        <v>-184136.99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2761188.28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/>
      <c r="F22" s="557"/>
      <c r="G22" s="558"/>
      <c r="H22" s="558"/>
      <c r="I22" s="558"/>
      <c r="J22" s="558"/>
      <c r="K22" s="558"/>
      <c r="L22" s="559"/>
      <c r="M22" s="175">
        <f>SUM(E22:L22)</f>
        <v>0</v>
      </c>
      <c r="N22" s="1292"/>
      <c r="O22" s="824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13"/>
      <c r="D24" s="1414"/>
      <c r="E24" s="197" t="s">
        <v>406</v>
      </c>
      <c r="F24" s="1417" t="s">
        <v>396</v>
      </c>
      <c r="G24" s="1418"/>
      <c r="H24" s="1418"/>
      <c r="I24" s="1418"/>
      <c r="J24" s="1418"/>
      <c r="K24" s="1418"/>
      <c r="L24" s="1419"/>
      <c r="M24" s="197" t="s">
        <v>407</v>
      </c>
      <c r="N24" s="197"/>
      <c r="O24" s="1415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3" t="s">
        <v>1021</v>
      </c>
      <c r="O25" s="1416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3557.1800000000003</v>
      </c>
      <c r="F26" s="482"/>
      <c r="G26" s="483"/>
      <c r="H26" s="483"/>
      <c r="I26" s="483">
        <v>-2570.81</v>
      </c>
      <c r="J26" s="483"/>
      <c r="K26" s="483"/>
      <c r="L26" s="484"/>
      <c r="M26" s="172">
        <f>SUM(E26:L26)</f>
        <v>986.3700000000003</v>
      </c>
      <c r="N26" s="1294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>SUM(E27:L27)</f>
        <v>0</v>
      </c>
      <c r="N27" s="1295"/>
      <c r="O27" s="791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2757631.0999999996</v>
      </c>
      <c r="F28" s="486">
        <v>266826.91</v>
      </c>
      <c r="G28" s="487"/>
      <c r="H28" s="487"/>
      <c r="I28" s="487">
        <v>-325481.69</v>
      </c>
      <c r="J28" s="487"/>
      <c r="K28" s="487"/>
      <c r="L28" s="488"/>
      <c r="M28" s="176">
        <f>SUM(E28:L28)</f>
        <v>2698976.32</v>
      </c>
      <c r="N28" s="1295"/>
      <c r="O28" s="1225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295"/>
      <c r="O29" s="791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296"/>
      <c r="O30" s="792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 aca="true" t="shared" si="1" ref="E31:N31">SUM(E26:E30)</f>
        <v>2761188.28</v>
      </c>
      <c r="F31" s="175">
        <f t="shared" si="1"/>
        <v>266826.91</v>
      </c>
      <c r="G31" s="175">
        <f t="shared" si="1"/>
        <v>0</v>
      </c>
      <c r="H31" s="175">
        <f t="shared" si="1"/>
        <v>0</v>
      </c>
      <c r="I31" s="175">
        <f t="shared" si="1"/>
        <v>-328052.5</v>
      </c>
      <c r="J31" s="175">
        <f t="shared" si="1"/>
        <v>0</v>
      </c>
      <c r="K31" s="175">
        <f t="shared" si="1"/>
        <v>0</v>
      </c>
      <c r="L31" s="175">
        <f t="shared" si="1"/>
        <v>0</v>
      </c>
      <c r="M31" s="175">
        <f t="shared" si="1"/>
        <v>2699962.69</v>
      </c>
      <c r="N31" s="175">
        <f t="shared" si="1"/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0</v>
      </c>
      <c r="F33" s="557"/>
      <c r="G33" s="558"/>
      <c r="H33" s="558"/>
      <c r="I33" s="558"/>
      <c r="J33" s="558"/>
      <c r="K33" s="558"/>
      <c r="L33" s="559"/>
      <c r="M33" s="175">
        <f>SUM(E33:L33)</f>
        <v>0</v>
      </c>
      <c r="N33" s="1292"/>
      <c r="O33" s="824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57"/>
      <c r="D47" s="1357"/>
      <c r="E47" s="1357"/>
      <c r="F47" s="1357"/>
      <c r="G47" s="56"/>
      <c r="H47" s="56"/>
      <c r="I47" s="56"/>
      <c r="J47" s="56"/>
      <c r="K47" s="56"/>
      <c r="L47" s="56"/>
      <c r="M47" s="56"/>
      <c r="N47" s="1290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11C1FF"/>
    <pageSetUpPr fitToPage="1"/>
  </sheetPr>
  <dimension ref="A2:AC82"/>
  <sheetViews>
    <sheetView zoomScale="81" zoomScaleNormal="81" zoomScalePageLayoutView="125" workbookViewId="0" topLeftCell="A1">
      <selection activeCell="E44" sqref="E44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2" width="13.4453125" style="97" customWidth="1"/>
    <col min="13" max="13" width="25.777343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44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44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58" t="str">
        <f>Entidad</f>
        <v>INSTITUTO VOLCANOLOGICO DE CANARIAS SAU</v>
      </c>
      <c r="E9" s="1358"/>
      <c r="F9" s="1358"/>
      <c r="G9" s="1358"/>
      <c r="H9" s="1358"/>
      <c r="I9" s="1358"/>
      <c r="J9" s="1358"/>
      <c r="K9" s="1358"/>
      <c r="L9" s="1358"/>
      <c r="M9" s="1358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29"/>
      <c r="D12" s="1429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17" t="s">
        <v>396</v>
      </c>
      <c r="H15" s="1418"/>
      <c r="I15" s="1418"/>
      <c r="J15" s="197" t="s">
        <v>407</v>
      </c>
      <c r="K15" s="197" t="s">
        <v>416</v>
      </c>
      <c r="L15" s="197" t="s">
        <v>417</v>
      </c>
      <c r="M15" s="1415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16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20" t="s">
        <v>418</v>
      </c>
      <c r="D17" s="1420"/>
      <c r="E17" s="1420"/>
      <c r="F17" s="1420"/>
      <c r="G17" s="1420"/>
      <c r="H17" s="1420"/>
      <c r="I17" s="1420"/>
      <c r="J17" s="1420"/>
      <c r="K17" s="1420"/>
      <c r="L17" s="1420"/>
      <c r="M17" s="1420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22"/>
      <c r="D18" s="1423"/>
      <c r="E18" s="833"/>
      <c r="F18" s="493"/>
      <c r="G18" s="494"/>
      <c r="H18" s="494"/>
      <c r="I18" s="494"/>
      <c r="J18" s="184">
        <f aca="true" t="shared" si="0" ref="J18:J24">SUM(F18:I18)</f>
        <v>0</v>
      </c>
      <c r="K18" s="501"/>
      <c r="L18" s="502"/>
      <c r="M18" s="829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24"/>
      <c r="D19" s="1425"/>
      <c r="E19" s="834"/>
      <c r="F19" s="486"/>
      <c r="G19" s="487"/>
      <c r="H19" s="487"/>
      <c r="I19" s="487"/>
      <c r="J19" s="176">
        <f t="shared" si="0"/>
        <v>0</v>
      </c>
      <c r="K19" s="503"/>
      <c r="L19" s="504"/>
      <c r="M19" s="830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24"/>
      <c r="D20" s="1425"/>
      <c r="E20" s="834"/>
      <c r="F20" s="486"/>
      <c r="G20" s="487"/>
      <c r="H20" s="487"/>
      <c r="I20" s="487"/>
      <c r="J20" s="176">
        <f t="shared" si="0"/>
        <v>0</v>
      </c>
      <c r="K20" s="503"/>
      <c r="L20" s="504"/>
      <c r="M20" s="830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24"/>
      <c r="D21" s="1425"/>
      <c r="E21" s="834"/>
      <c r="F21" s="486"/>
      <c r="G21" s="487"/>
      <c r="H21" s="487"/>
      <c r="I21" s="487"/>
      <c r="J21" s="176">
        <f t="shared" si="0"/>
        <v>0</v>
      </c>
      <c r="K21" s="503"/>
      <c r="L21" s="504"/>
      <c r="M21" s="830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24"/>
      <c r="D22" s="1425"/>
      <c r="E22" s="835"/>
      <c r="F22" s="495"/>
      <c r="G22" s="496"/>
      <c r="H22" s="496"/>
      <c r="I22" s="496"/>
      <c r="J22" s="176">
        <f t="shared" si="0"/>
        <v>0</v>
      </c>
      <c r="K22" s="505"/>
      <c r="L22" s="506"/>
      <c r="M22" s="831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24"/>
      <c r="D23" s="1425"/>
      <c r="E23" s="835"/>
      <c r="F23" s="495"/>
      <c r="G23" s="496"/>
      <c r="H23" s="496"/>
      <c r="I23" s="496"/>
      <c r="J23" s="176">
        <f t="shared" si="0"/>
        <v>0</v>
      </c>
      <c r="K23" s="505"/>
      <c r="L23" s="506"/>
      <c r="M23" s="831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6"/>
      <c r="F24" s="490"/>
      <c r="G24" s="491"/>
      <c r="H24" s="491"/>
      <c r="I24" s="491"/>
      <c r="J24" s="177">
        <f t="shared" si="0"/>
        <v>0</v>
      </c>
      <c r="K24" s="507"/>
      <c r="L24" s="508"/>
      <c r="M24" s="832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21" t="s">
        <v>419</v>
      </c>
      <c r="D26" s="1421"/>
      <c r="E26" s="1421"/>
      <c r="F26" s="1421"/>
      <c r="G26" s="1421"/>
      <c r="H26" s="1421"/>
      <c r="I26" s="1421"/>
      <c r="J26" s="1421"/>
      <c r="K26" s="1421"/>
      <c r="L26" s="1421"/>
      <c r="M26" s="1421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22" t="s">
        <v>1064</v>
      </c>
      <c r="D27" s="1426"/>
      <c r="E27" s="833">
        <v>53280005</v>
      </c>
      <c r="F27" s="493">
        <v>132727.44</v>
      </c>
      <c r="G27" s="494"/>
      <c r="H27" s="494"/>
      <c r="I27" s="494"/>
      <c r="J27" s="184">
        <f aca="true" t="shared" si="1" ref="J27:J33">SUM(F27:I27)</f>
        <v>132727.44</v>
      </c>
      <c r="K27" s="501"/>
      <c r="L27" s="502"/>
      <c r="M27" s="829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27"/>
      <c r="D28" s="1428"/>
      <c r="E28" s="834"/>
      <c r="F28" s="486"/>
      <c r="G28" s="487"/>
      <c r="H28" s="487"/>
      <c r="I28" s="487"/>
      <c r="J28" s="176">
        <f t="shared" si="1"/>
        <v>0</v>
      </c>
      <c r="K28" s="503"/>
      <c r="L28" s="504"/>
      <c r="M28" s="830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27"/>
      <c r="D29" s="1428"/>
      <c r="E29" s="834"/>
      <c r="F29" s="486"/>
      <c r="G29" s="487"/>
      <c r="H29" s="487"/>
      <c r="I29" s="487"/>
      <c r="J29" s="176">
        <f t="shared" si="1"/>
        <v>0</v>
      </c>
      <c r="K29" s="503"/>
      <c r="L29" s="504"/>
      <c r="M29" s="830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27"/>
      <c r="D30" s="1428"/>
      <c r="E30" s="834"/>
      <c r="F30" s="486"/>
      <c r="G30" s="487"/>
      <c r="H30" s="487"/>
      <c r="I30" s="487"/>
      <c r="J30" s="176">
        <f t="shared" si="1"/>
        <v>0</v>
      </c>
      <c r="K30" s="503"/>
      <c r="L30" s="504"/>
      <c r="M30" s="830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24"/>
      <c r="D31" s="1425"/>
      <c r="E31" s="835"/>
      <c r="F31" s="495"/>
      <c r="G31" s="496"/>
      <c r="H31" s="496"/>
      <c r="I31" s="496"/>
      <c r="J31" s="176">
        <f t="shared" si="1"/>
        <v>0</v>
      </c>
      <c r="K31" s="505"/>
      <c r="L31" s="506"/>
      <c r="M31" s="831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24"/>
      <c r="D32" s="1425"/>
      <c r="E32" s="835"/>
      <c r="F32" s="495"/>
      <c r="G32" s="496"/>
      <c r="H32" s="496"/>
      <c r="I32" s="496"/>
      <c r="J32" s="176">
        <f t="shared" si="1"/>
        <v>0</v>
      </c>
      <c r="K32" s="505"/>
      <c r="L32" s="506"/>
      <c r="M32" s="831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30"/>
      <c r="D33" s="1431"/>
      <c r="E33" s="836"/>
      <c r="F33" s="490"/>
      <c r="G33" s="491"/>
      <c r="H33" s="491"/>
      <c r="I33" s="491"/>
      <c r="J33" s="177">
        <f t="shared" si="1"/>
        <v>0</v>
      </c>
      <c r="K33" s="507"/>
      <c r="L33" s="508"/>
      <c r="M33" s="832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132727.44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132727.44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17" t="s">
        <v>396</v>
      </c>
      <c r="H39" s="1418"/>
      <c r="I39" s="1418"/>
      <c r="J39" s="197" t="s">
        <v>407</v>
      </c>
      <c r="K39" s="197" t="s">
        <v>416</v>
      </c>
      <c r="L39" s="197" t="s">
        <v>417</v>
      </c>
      <c r="M39" s="1415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16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20" t="s">
        <v>422</v>
      </c>
      <c r="D41" s="1420"/>
      <c r="E41" s="1420"/>
      <c r="F41" s="1420"/>
      <c r="G41" s="1420"/>
      <c r="H41" s="1420"/>
      <c r="I41" s="1420"/>
      <c r="J41" s="1420"/>
      <c r="K41" s="1420"/>
      <c r="L41" s="1420"/>
      <c r="M41" s="1420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22"/>
      <c r="D42" s="1423"/>
      <c r="E42" s="833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5"/>
      <c r="M42" s="829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24"/>
      <c r="D43" s="1425"/>
      <c r="E43" s="834"/>
      <c r="F43" s="486"/>
      <c r="G43" s="487"/>
      <c r="H43" s="487"/>
      <c r="I43" s="487"/>
      <c r="J43" s="176">
        <f t="shared" si="2"/>
        <v>0</v>
      </c>
      <c r="K43" s="503"/>
      <c r="L43" s="826"/>
      <c r="M43" s="830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24"/>
      <c r="D44" s="1425"/>
      <c r="E44" s="834"/>
      <c r="F44" s="486"/>
      <c r="G44" s="487"/>
      <c r="H44" s="487"/>
      <c r="I44" s="487"/>
      <c r="J44" s="176">
        <f t="shared" si="2"/>
        <v>0</v>
      </c>
      <c r="K44" s="503"/>
      <c r="L44" s="826"/>
      <c r="M44" s="830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24"/>
      <c r="D45" s="1425"/>
      <c r="E45" s="834"/>
      <c r="F45" s="486"/>
      <c r="G45" s="487"/>
      <c r="H45" s="487"/>
      <c r="I45" s="487"/>
      <c r="J45" s="176">
        <f t="shared" si="2"/>
        <v>0</v>
      </c>
      <c r="K45" s="503"/>
      <c r="L45" s="826"/>
      <c r="M45" s="830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24"/>
      <c r="D46" s="1425"/>
      <c r="E46" s="835"/>
      <c r="F46" s="495"/>
      <c r="G46" s="496"/>
      <c r="H46" s="496"/>
      <c r="I46" s="496"/>
      <c r="J46" s="176">
        <f t="shared" si="2"/>
        <v>0</v>
      </c>
      <c r="K46" s="505"/>
      <c r="L46" s="827"/>
      <c r="M46" s="831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24"/>
      <c r="D47" s="1425"/>
      <c r="E47" s="835"/>
      <c r="F47" s="495"/>
      <c r="G47" s="496"/>
      <c r="H47" s="496"/>
      <c r="I47" s="496"/>
      <c r="J47" s="176">
        <f t="shared" si="2"/>
        <v>0</v>
      </c>
      <c r="K47" s="505"/>
      <c r="L47" s="827"/>
      <c r="M47" s="831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30"/>
      <c r="D48" s="1431"/>
      <c r="E48" s="836"/>
      <c r="F48" s="490"/>
      <c r="G48" s="491"/>
      <c r="H48" s="491"/>
      <c r="I48" s="491"/>
      <c r="J48" s="177">
        <f t="shared" si="2"/>
        <v>0</v>
      </c>
      <c r="K48" s="507"/>
      <c r="L48" s="828"/>
      <c r="M48" s="832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21" t="s">
        <v>423</v>
      </c>
      <c r="D50" s="1421"/>
      <c r="E50" s="1421"/>
      <c r="F50" s="1421"/>
      <c r="G50" s="1421"/>
      <c r="H50" s="1421"/>
      <c r="I50" s="1421"/>
      <c r="J50" s="1421"/>
      <c r="K50" s="1421"/>
      <c r="L50" s="1421"/>
      <c r="M50" s="1421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22"/>
      <c r="D51" s="1423"/>
      <c r="E51" s="833"/>
      <c r="F51" s="493"/>
      <c r="G51" s="494"/>
      <c r="H51" s="494"/>
      <c r="I51" s="494"/>
      <c r="J51" s="184">
        <f>SUM(G51:I51)</f>
        <v>0</v>
      </c>
      <c r="K51" s="501"/>
      <c r="L51" s="502"/>
      <c r="M51" s="829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27" t="s">
        <v>1065</v>
      </c>
      <c r="D52" s="1428"/>
      <c r="E52" s="834">
        <v>566</v>
      </c>
      <c r="F52" s="486">
        <v>262.77</v>
      </c>
      <c r="G52" s="487"/>
      <c r="H52" s="487"/>
      <c r="I52" s="487"/>
      <c r="J52" s="176">
        <f aca="true" t="shared" si="3" ref="J52:J57">SUM(F52:I52)</f>
        <v>262.77</v>
      </c>
      <c r="K52" s="503"/>
      <c r="L52" s="504"/>
      <c r="M52" s="830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24"/>
      <c r="D53" s="1425"/>
      <c r="E53" s="834"/>
      <c r="F53" s="486"/>
      <c r="G53" s="487"/>
      <c r="H53" s="487"/>
      <c r="I53" s="487"/>
      <c r="J53" s="176">
        <f t="shared" si="3"/>
        <v>0</v>
      </c>
      <c r="K53" s="503"/>
      <c r="L53" s="504"/>
      <c r="M53" s="830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24"/>
      <c r="D54" s="1425"/>
      <c r="E54" s="834"/>
      <c r="F54" s="486"/>
      <c r="G54" s="487"/>
      <c r="H54" s="487"/>
      <c r="I54" s="487"/>
      <c r="J54" s="176">
        <f t="shared" si="3"/>
        <v>0</v>
      </c>
      <c r="K54" s="503"/>
      <c r="L54" s="504"/>
      <c r="M54" s="830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24"/>
      <c r="D55" s="1425"/>
      <c r="E55" s="835"/>
      <c r="F55" s="495"/>
      <c r="G55" s="496"/>
      <c r="H55" s="496"/>
      <c r="I55" s="496"/>
      <c r="J55" s="176">
        <f t="shared" si="3"/>
        <v>0</v>
      </c>
      <c r="K55" s="505"/>
      <c r="L55" s="506"/>
      <c r="M55" s="831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24"/>
      <c r="D56" s="1425"/>
      <c r="E56" s="835"/>
      <c r="F56" s="495"/>
      <c r="G56" s="496"/>
      <c r="H56" s="496"/>
      <c r="I56" s="496"/>
      <c r="J56" s="176">
        <f t="shared" si="3"/>
        <v>0</v>
      </c>
      <c r="K56" s="505"/>
      <c r="L56" s="506"/>
      <c r="M56" s="831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30"/>
      <c r="D57" s="1431"/>
      <c r="E57" s="836"/>
      <c r="F57" s="490"/>
      <c r="G57" s="491"/>
      <c r="H57" s="491"/>
      <c r="I57" s="491"/>
      <c r="J57" s="177">
        <f t="shared" si="3"/>
        <v>0</v>
      </c>
      <c r="K57" s="507"/>
      <c r="L57" s="508"/>
      <c r="M57" s="832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262.77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262.77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57"/>
      <c r="D71" s="1357"/>
      <c r="E71" s="1357"/>
      <c r="F71" s="1357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54:D54"/>
    <mergeCell ref="C55:D55"/>
    <mergeCell ref="C56:D56"/>
    <mergeCell ref="C57:D57"/>
    <mergeCell ref="C47:D47"/>
    <mergeCell ref="C48:D48"/>
    <mergeCell ref="C52:D52"/>
    <mergeCell ref="C53:D53"/>
    <mergeCell ref="C30:D30"/>
    <mergeCell ref="C31:D31"/>
    <mergeCell ref="C32:D32"/>
    <mergeCell ref="C33:D33"/>
    <mergeCell ref="C51:D51"/>
    <mergeCell ref="C42:D42"/>
    <mergeCell ref="C43:D43"/>
    <mergeCell ref="C44:D44"/>
    <mergeCell ref="C45:D45"/>
    <mergeCell ref="C46:D46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11C1FF"/>
    <pageSetUpPr fitToPage="1"/>
  </sheetPr>
  <dimension ref="A2:AG130"/>
  <sheetViews>
    <sheetView zoomScale="125" zoomScaleNormal="125" zoomScalePageLayoutView="125" workbookViewId="0" topLeftCell="A62">
      <selection activeCell="J65" sqref="J65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5.77734375" style="96" customWidth="1"/>
    <col min="5" max="5" width="27.77734375" style="97" customWidth="1"/>
    <col min="6" max="6" width="16.21484375" style="97" customWidth="1"/>
    <col min="7" max="13" width="15.21484375" style="97" customWidth="1"/>
    <col min="14" max="16" width="9.77734375" style="97" customWidth="1"/>
    <col min="17" max="17" width="3.21484375" style="96" customWidth="1"/>
    <col min="18" max="18" width="3.445312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44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44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4" t="s">
        <v>2</v>
      </c>
      <c r="D9" s="1358" t="str">
        <f>Entidad</f>
        <v>INSTITUTO VOLCANOLOGICO DE CANARIAS SAU</v>
      </c>
      <c r="E9" s="1358"/>
      <c r="F9" s="1358"/>
      <c r="G9" s="1358"/>
      <c r="H9" s="1358"/>
      <c r="I9" s="1358"/>
      <c r="J9" s="1358"/>
      <c r="K9" s="1358"/>
      <c r="L9" s="1358"/>
      <c r="M9" s="1358"/>
      <c r="N9" s="1358"/>
      <c r="O9" s="1358"/>
      <c r="P9" s="1358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29"/>
      <c r="D12" s="1429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43"/>
      <c r="D15" s="1444"/>
      <c r="E15" s="944"/>
      <c r="F15" s="1454" t="s">
        <v>816</v>
      </c>
      <c r="G15" s="1455"/>
      <c r="H15" s="1455"/>
      <c r="I15" s="1455"/>
      <c r="J15" s="1455"/>
      <c r="K15" s="1456"/>
      <c r="L15" s="1463" t="s">
        <v>814</v>
      </c>
      <c r="M15" s="1450"/>
      <c r="N15" s="895"/>
      <c r="O15" s="895"/>
      <c r="P15" s="895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3" customFormat="1" ht="36" customHeight="1">
      <c r="B16" s="894"/>
      <c r="C16" s="1461" t="s">
        <v>779</v>
      </c>
      <c r="D16" s="1462"/>
      <c r="E16" s="945"/>
      <c r="F16" s="946" t="s">
        <v>813</v>
      </c>
      <c r="G16" s="1447">
        <f>ejercicio-1</f>
        <v>2019</v>
      </c>
      <c r="H16" s="1466"/>
      <c r="I16" s="947" t="s">
        <v>813</v>
      </c>
      <c r="J16" s="1447">
        <f>ejercicio</f>
        <v>2020</v>
      </c>
      <c r="K16" s="1466"/>
      <c r="L16" s="1453" t="s">
        <v>815</v>
      </c>
      <c r="M16" s="1448"/>
      <c r="N16" s="903"/>
      <c r="O16" s="903"/>
      <c r="P16" s="903"/>
      <c r="Q16" s="897"/>
      <c r="S16" s="898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900"/>
    </row>
    <row r="17" spans="2:33" s="901" customFormat="1" ht="22.5" customHeight="1">
      <c r="B17" s="902"/>
      <c r="C17" s="1441" t="s">
        <v>780</v>
      </c>
      <c r="D17" s="1442"/>
      <c r="E17" s="920" t="s">
        <v>434</v>
      </c>
      <c r="F17" s="921">
        <f>ejercicio-1</f>
        <v>2019</v>
      </c>
      <c r="G17" s="896" t="s">
        <v>817</v>
      </c>
      <c r="H17" s="928" t="s">
        <v>812</v>
      </c>
      <c r="I17" s="927">
        <f>ejercicio</f>
        <v>2020</v>
      </c>
      <c r="J17" s="896" t="s">
        <v>817</v>
      </c>
      <c r="K17" s="928" t="s">
        <v>812</v>
      </c>
      <c r="L17" s="915">
        <f>ejercicio-1</f>
        <v>2019</v>
      </c>
      <c r="M17" s="896">
        <f>ejercicio</f>
        <v>2020</v>
      </c>
      <c r="N17" s="896" t="s">
        <v>436</v>
      </c>
      <c r="O17" s="896" t="s">
        <v>438</v>
      </c>
      <c r="P17" s="896" t="s">
        <v>437</v>
      </c>
      <c r="Q17" s="904"/>
      <c r="S17" s="898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99"/>
      <c r="AF17" s="899"/>
      <c r="AG17" s="900"/>
    </row>
    <row r="18" spans="2:33" s="189" customFormat="1" ht="7.5" customHeight="1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7"/>
      <c r="N18" s="967"/>
      <c r="O18" s="967"/>
      <c r="P18" s="967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57" t="s">
        <v>388</v>
      </c>
      <c r="D19" s="1458"/>
      <c r="E19" s="1458"/>
      <c r="F19" s="941">
        <f>G19+H19</f>
        <v>2739223.14</v>
      </c>
      <c r="G19" s="510">
        <v>2054417.37</v>
      </c>
      <c r="H19" s="929">
        <v>684805.77</v>
      </c>
      <c r="I19" s="941">
        <f>+J19+K19</f>
        <v>2752101.24</v>
      </c>
      <c r="J19" s="510">
        <f>G34</f>
        <v>2064075.9400000002</v>
      </c>
      <c r="K19" s="929">
        <f>H34</f>
        <v>688025.3</v>
      </c>
      <c r="L19" s="968"/>
      <c r="M19" s="968"/>
      <c r="N19" s="968"/>
      <c r="O19" s="968"/>
      <c r="P19" s="968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70"/>
      <c r="O20" s="970"/>
      <c r="P20" s="970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1" t="s">
        <v>1066</v>
      </c>
      <c r="D21" s="1332"/>
      <c r="E21" s="1227" t="s">
        <v>1067</v>
      </c>
      <c r="F21" s="922">
        <v>44000</v>
      </c>
      <c r="G21" s="482">
        <v>33000</v>
      </c>
      <c r="H21" s="930">
        <v>11000</v>
      </c>
      <c r="I21" s="888"/>
      <c r="J21" s="888"/>
      <c r="K21" s="936"/>
      <c r="L21" s="888">
        <v>44000</v>
      </c>
      <c r="M21" s="888"/>
      <c r="N21" s="837"/>
      <c r="O21" s="837"/>
      <c r="P21" s="838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48" t="s">
        <v>1068</v>
      </c>
      <c r="D22" s="1333"/>
      <c r="E22" s="1228" t="s">
        <v>1067</v>
      </c>
      <c r="F22" s="923">
        <v>44000</v>
      </c>
      <c r="G22" s="493">
        <v>33000</v>
      </c>
      <c r="H22" s="931">
        <v>11000</v>
      </c>
      <c r="I22" s="889"/>
      <c r="J22" s="889"/>
      <c r="K22" s="937"/>
      <c r="L22" s="889">
        <v>44000</v>
      </c>
      <c r="M22" s="889"/>
      <c r="N22" s="839"/>
      <c r="O22" s="839"/>
      <c r="P22" s="840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6" t="s">
        <v>1069</v>
      </c>
      <c r="D23" s="1334"/>
      <c r="E23" s="1228" t="s">
        <v>1067</v>
      </c>
      <c r="F23" s="923">
        <v>8000</v>
      </c>
      <c r="G23" s="493">
        <v>6000</v>
      </c>
      <c r="H23" s="931">
        <v>2000</v>
      </c>
      <c r="I23" s="889">
        <v>8000</v>
      </c>
      <c r="J23" s="889">
        <v>6000</v>
      </c>
      <c r="K23" s="937">
        <v>2000</v>
      </c>
      <c r="L23" s="889">
        <v>8000</v>
      </c>
      <c r="M23" s="889">
        <v>8000</v>
      </c>
      <c r="N23" s="839"/>
      <c r="O23" s="839"/>
      <c r="P23" s="840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1226" t="s">
        <v>1070</v>
      </c>
      <c r="D24" s="1334"/>
      <c r="E24" s="1228" t="s">
        <v>70</v>
      </c>
      <c r="F24" s="923">
        <v>95000</v>
      </c>
      <c r="G24" s="493">
        <v>71250</v>
      </c>
      <c r="H24" s="931">
        <v>23750</v>
      </c>
      <c r="I24" s="889"/>
      <c r="J24" s="889"/>
      <c r="K24" s="937"/>
      <c r="L24" s="889">
        <v>485000</v>
      </c>
      <c r="M24" s="889"/>
      <c r="N24" s="839" t="s">
        <v>1117</v>
      </c>
      <c r="O24" s="839" t="s">
        <v>1118</v>
      </c>
      <c r="P24" s="840" t="s">
        <v>1120</v>
      </c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1226" t="s">
        <v>1071</v>
      </c>
      <c r="D25" s="1334"/>
      <c r="E25" s="1228" t="s">
        <v>70</v>
      </c>
      <c r="F25" s="924">
        <v>5000</v>
      </c>
      <c r="G25" s="486">
        <v>3750</v>
      </c>
      <c r="H25" s="932">
        <v>1250</v>
      </c>
      <c r="I25" s="890"/>
      <c r="J25" s="890"/>
      <c r="K25" s="938"/>
      <c r="L25" s="890">
        <v>5000</v>
      </c>
      <c r="M25" s="890"/>
      <c r="N25" s="841"/>
      <c r="O25" s="841"/>
      <c r="P25" s="842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1226" t="s">
        <v>1072</v>
      </c>
      <c r="D26" s="1334"/>
      <c r="E26" s="1250" t="s">
        <v>1062</v>
      </c>
      <c r="F26" s="924"/>
      <c r="G26" s="486"/>
      <c r="H26" s="932"/>
      <c r="I26" s="890">
        <v>100000</v>
      </c>
      <c r="J26" s="890">
        <v>75000</v>
      </c>
      <c r="K26" s="938">
        <v>25000</v>
      </c>
      <c r="L26" s="890"/>
      <c r="M26" s="890">
        <v>100000</v>
      </c>
      <c r="N26" s="841"/>
      <c r="O26" s="841"/>
      <c r="P26" s="842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1226" t="s">
        <v>1073</v>
      </c>
      <c r="D27" s="1334"/>
      <c r="E27" s="1250" t="s">
        <v>1074</v>
      </c>
      <c r="F27" s="924"/>
      <c r="G27" s="486"/>
      <c r="H27" s="932"/>
      <c r="I27" s="890">
        <v>126569.43</v>
      </c>
      <c r="J27" s="890">
        <v>94927.07</v>
      </c>
      <c r="K27" s="938">
        <v>31642.36</v>
      </c>
      <c r="L27" s="890"/>
      <c r="M27" s="890">
        <v>126569.43</v>
      </c>
      <c r="N27" s="841"/>
      <c r="O27" s="841"/>
      <c r="P27" s="842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1226" t="s">
        <v>1075</v>
      </c>
      <c r="D28" s="1334"/>
      <c r="E28" s="1250" t="s">
        <v>1074</v>
      </c>
      <c r="F28" s="925"/>
      <c r="G28" s="495"/>
      <c r="H28" s="933"/>
      <c r="I28" s="891">
        <v>8433.45</v>
      </c>
      <c r="J28" s="891">
        <v>6325.09</v>
      </c>
      <c r="K28" s="939">
        <v>2108.36</v>
      </c>
      <c r="L28" s="891"/>
      <c r="M28" s="891">
        <v>8433.45</v>
      </c>
      <c r="N28" s="843"/>
      <c r="O28" s="843"/>
      <c r="P28" s="844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2"/>
      <c r="D29" s="563"/>
      <c r="E29" s="916"/>
      <c r="F29" s="925"/>
      <c r="G29" s="495"/>
      <c r="H29" s="933"/>
      <c r="I29" s="891"/>
      <c r="J29" s="891"/>
      <c r="K29" s="939"/>
      <c r="L29" s="891"/>
      <c r="M29" s="891"/>
      <c r="N29" s="843"/>
      <c r="O29" s="843"/>
      <c r="P29" s="844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4"/>
      <c r="D30" s="565"/>
      <c r="E30" s="917"/>
      <c r="F30" s="926"/>
      <c r="G30" s="490"/>
      <c r="H30" s="934"/>
      <c r="I30" s="892"/>
      <c r="J30" s="892"/>
      <c r="K30" s="940"/>
      <c r="L30" s="892"/>
      <c r="M30" s="892"/>
      <c r="N30" s="845"/>
      <c r="O30" s="845"/>
      <c r="P30" s="846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1" t="s">
        <v>439</v>
      </c>
      <c r="D31" s="972"/>
      <c r="E31" s="973"/>
      <c r="F31" s="974">
        <f aca="true" t="shared" si="0" ref="F31:M31">SUM(F21:F30)</f>
        <v>196000</v>
      </c>
      <c r="G31" s="674">
        <f t="shared" si="0"/>
        <v>147000</v>
      </c>
      <c r="H31" s="975">
        <f t="shared" si="0"/>
        <v>49000</v>
      </c>
      <c r="I31" s="778">
        <f t="shared" si="0"/>
        <v>243002.88</v>
      </c>
      <c r="J31" s="674">
        <f t="shared" si="0"/>
        <v>182252.16</v>
      </c>
      <c r="K31" s="975">
        <f t="shared" si="0"/>
        <v>60750.72</v>
      </c>
      <c r="L31" s="778">
        <f t="shared" si="0"/>
        <v>586000</v>
      </c>
      <c r="M31" s="674">
        <f t="shared" si="0"/>
        <v>243002.88</v>
      </c>
      <c r="N31" s="976"/>
      <c r="O31" s="977"/>
      <c r="P31" s="976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69"/>
      <c r="D32" s="969"/>
      <c r="E32" s="969"/>
      <c r="F32" s="969"/>
      <c r="G32" s="969"/>
      <c r="H32" s="969"/>
      <c r="I32" s="969"/>
      <c r="J32" s="969"/>
      <c r="K32" s="969"/>
      <c r="L32" s="978"/>
      <c r="M32" s="978"/>
      <c r="N32" s="978"/>
      <c r="O32" s="978"/>
      <c r="P32" s="978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59" t="s">
        <v>440</v>
      </c>
      <c r="D33" s="1460"/>
      <c r="E33" s="1460"/>
      <c r="F33" s="941">
        <f>G33+H33</f>
        <v>-183121.9</v>
      </c>
      <c r="G33" s="919">
        <v>-137341.43</v>
      </c>
      <c r="H33" s="935">
        <v>-45780.47</v>
      </c>
      <c r="I33" s="941">
        <f>+J33+K33</f>
        <v>-325869.4</v>
      </c>
      <c r="J33" s="919">
        <v>-244402.05</v>
      </c>
      <c r="K33" s="935">
        <v>-81467.35</v>
      </c>
      <c r="L33" s="968"/>
      <c r="M33" s="968"/>
      <c r="N33" s="979"/>
      <c r="O33" s="979"/>
      <c r="P33" s="979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1" t="s">
        <v>441</v>
      </c>
      <c r="D34" s="972"/>
      <c r="E34" s="973"/>
      <c r="F34" s="942">
        <f>G34+H34</f>
        <v>2752101.24</v>
      </c>
      <c r="G34" s="674">
        <f>+G19+G31+G33</f>
        <v>2064075.9400000002</v>
      </c>
      <c r="H34" s="975">
        <f>+H19+H31+H33</f>
        <v>688025.3</v>
      </c>
      <c r="I34" s="943">
        <f>J34+K34</f>
        <v>2669234.72</v>
      </c>
      <c r="J34" s="674">
        <f>J19+J31+SUM(J33:J33)</f>
        <v>2001926.05</v>
      </c>
      <c r="K34" s="975">
        <f>K19+K31+SUM(K33:K33)</f>
        <v>667308.67</v>
      </c>
      <c r="L34" s="980"/>
      <c r="M34" s="980"/>
      <c r="N34" s="979"/>
      <c r="O34" s="979"/>
      <c r="P34" s="979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43" t="s">
        <v>779</v>
      </c>
      <c r="D37" s="1444"/>
      <c r="E37" s="1449" t="s">
        <v>434</v>
      </c>
      <c r="F37" s="1450"/>
      <c r="G37" s="1439" t="s">
        <v>786</v>
      </c>
      <c r="H37" s="1440"/>
      <c r="I37" s="1439" t="s">
        <v>787</v>
      </c>
      <c r="J37" s="1440"/>
      <c r="K37" s="896"/>
      <c r="L37" s="896"/>
      <c r="M37" s="896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41" t="s">
        <v>780</v>
      </c>
      <c r="D38" s="1442"/>
      <c r="E38" s="1464" t="s">
        <v>1008</v>
      </c>
      <c r="F38" s="1465"/>
      <c r="G38" s="896">
        <f>ejercicio-1</f>
        <v>2019</v>
      </c>
      <c r="H38" s="896">
        <f>ejercicio</f>
        <v>2020</v>
      </c>
      <c r="I38" s="896">
        <f>ejercicio-1</f>
        <v>2019</v>
      </c>
      <c r="J38" s="896">
        <f>ejercicio</f>
        <v>2020</v>
      </c>
      <c r="K38" s="896" t="s">
        <v>436</v>
      </c>
      <c r="L38" s="896" t="s">
        <v>438</v>
      </c>
      <c r="M38" s="896" t="s">
        <v>437</v>
      </c>
      <c r="N38" s="153"/>
      <c r="O38" s="153"/>
      <c r="P38" s="153"/>
      <c r="Q38" s="105"/>
      <c r="S38" s="409"/>
      <c r="T38" s="411"/>
      <c r="U38" s="1258"/>
      <c r="V38" s="1258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1" t="s">
        <v>1076</v>
      </c>
      <c r="D39" s="561"/>
      <c r="E39" s="1250" t="s">
        <v>274</v>
      </c>
      <c r="F39" s="1337" t="s">
        <v>1092</v>
      </c>
      <c r="G39" s="482">
        <v>165421.87</v>
      </c>
      <c r="H39" s="515">
        <v>106000</v>
      </c>
      <c r="I39" s="888">
        <v>106000</v>
      </c>
      <c r="J39" s="888">
        <v>106000</v>
      </c>
      <c r="K39" s="837"/>
      <c r="L39" s="837"/>
      <c r="M39" s="838"/>
      <c r="N39" s="918"/>
      <c r="O39" s="918"/>
      <c r="P39" s="918"/>
      <c r="Q39" s="105"/>
      <c r="S39" s="409"/>
      <c r="T39" s="411"/>
      <c r="U39" s="1258"/>
      <c r="V39" s="1258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48" t="s">
        <v>1077</v>
      </c>
      <c r="D40" s="1249"/>
      <c r="E40" s="1250" t="s">
        <v>70</v>
      </c>
      <c r="F40" s="1338"/>
      <c r="G40" s="493">
        <v>80880.59</v>
      </c>
      <c r="H40" s="515"/>
      <c r="I40" s="1342">
        <v>120000</v>
      </c>
      <c r="J40" s="889"/>
      <c r="K40" s="839"/>
      <c r="L40" s="839"/>
      <c r="M40" s="840"/>
      <c r="N40" s="918"/>
      <c r="O40" s="918"/>
      <c r="P40" s="918"/>
      <c r="Q40" s="105"/>
      <c r="S40" s="409"/>
      <c r="T40" s="411"/>
      <c r="U40" s="1258"/>
      <c r="V40" s="1258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48" t="s">
        <v>1078</v>
      </c>
      <c r="D41" s="1249"/>
      <c r="E41" s="1250" t="s">
        <v>70</v>
      </c>
      <c r="F41" s="1338"/>
      <c r="G41" s="493">
        <v>47428.81</v>
      </c>
      <c r="H41" s="515"/>
      <c r="I41" s="1342">
        <v>82000</v>
      </c>
      <c r="J41" s="889"/>
      <c r="K41" s="839"/>
      <c r="L41" s="839"/>
      <c r="M41" s="840"/>
      <c r="N41" s="918"/>
      <c r="O41" s="918"/>
      <c r="P41" s="918"/>
      <c r="Q41" s="105"/>
      <c r="S41" s="409"/>
      <c r="T41" s="411"/>
      <c r="U41" s="1258"/>
      <c r="V41" s="1258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6" t="s">
        <v>1079</v>
      </c>
      <c r="D42" s="1249"/>
      <c r="E42" s="1250" t="s">
        <v>70</v>
      </c>
      <c r="F42" s="1251"/>
      <c r="G42" s="493">
        <v>37437.24</v>
      </c>
      <c r="H42" s="515"/>
      <c r="I42" s="1342">
        <v>67000</v>
      </c>
      <c r="J42" s="889"/>
      <c r="K42" s="839"/>
      <c r="L42" s="839"/>
      <c r="M42" s="840"/>
      <c r="N42" s="918"/>
      <c r="O42" s="918"/>
      <c r="P42" s="918"/>
      <c r="Q42" s="105"/>
      <c r="S42" s="409"/>
      <c r="T42" s="411"/>
      <c r="U42" s="1258"/>
      <c r="V42" s="1258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6" t="s">
        <v>1080</v>
      </c>
      <c r="D43" s="1249"/>
      <c r="E43" s="1250" t="s">
        <v>70</v>
      </c>
      <c r="F43" s="1251"/>
      <c r="G43" s="493">
        <v>59230.3</v>
      </c>
      <c r="H43" s="515"/>
      <c r="I43" s="1342">
        <v>0</v>
      </c>
      <c r="J43" s="889"/>
      <c r="K43" s="839"/>
      <c r="L43" s="839"/>
      <c r="M43" s="840"/>
      <c r="N43" s="918"/>
      <c r="O43" s="918"/>
      <c r="P43" s="918"/>
      <c r="Q43" s="105"/>
      <c r="S43" s="409"/>
      <c r="T43" s="411"/>
      <c r="U43" s="1258"/>
      <c r="V43" s="1258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1226" t="s">
        <v>1081</v>
      </c>
      <c r="D44" s="1249"/>
      <c r="E44" s="1250" t="s">
        <v>70</v>
      </c>
      <c r="F44" s="1251"/>
      <c r="G44" s="493">
        <v>352386.96</v>
      </c>
      <c r="H44" s="515"/>
      <c r="I44" s="1342">
        <v>428000</v>
      </c>
      <c r="J44" s="889"/>
      <c r="K44" s="839" t="s">
        <v>1117</v>
      </c>
      <c r="L44" s="839" t="s">
        <v>1118</v>
      </c>
      <c r="M44" s="840" t="s">
        <v>1119</v>
      </c>
      <c r="N44" s="918"/>
      <c r="O44" s="918"/>
      <c r="P44" s="918"/>
      <c r="Q44" s="105"/>
      <c r="S44" s="409"/>
      <c r="T44" s="411"/>
      <c r="U44" s="1258"/>
      <c r="V44" s="1258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2.5" customHeight="1">
      <c r="B45" s="116"/>
      <c r="C45" s="1226" t="s">
        <v>1123</v>
      </c>
      <c r="D45" s="1249"/>
      <c r="E45" s="1250" t="s">
        <v>70</v>
      </c>
      <c r="F45" s="1251"/>
      <c r="G45" s="493"/>
      <c r="H45" s="515"/>
      <c r="I45" s="1342"/>
      <c r="J45" s="889"/>
      <c r="K45" s="839" t="s">
        <v>1117</v>
      </c>
      <c r="L45" s="839" t="s">
        <v>1118</v>
      </c>
      <c r="M45" s="840" t="s">
        <v>1119</v>
      </c>
      <c r="N45" s="918"/>
      <c r="O45" s="918"/>
      <c r="P45" s="918"/>
      <c r="Q45" s="105"/>
      <c r="S45" s="409"/>
      <c r="T45" s="411"/>
      <c r="U45" s="1258"/>
      <c r="V45" s="1258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1226" t="s">
        <v>1082</v>
      </c>
      <c r="D46" s="1249"/>
      <c r="E46" s="1250" t="s">
        <v>274</v>
      </c>
      <c r="F46" s="1251" t="s">
        <v>1093</v>
      </c>
      <c r="G46" s="493">
        <v>141279.25</v>
      </c>
      <c r="H46" s="515">
        <v>53025.41</v>
      </c>
      <c r="I46" s="1342">
        <v>89627.15</v>
      </c>
      <c r="J46" s="889">
        <v>53025.41</v>
      </c>
      <c r="K46" s="839"/>
      <c r="L46" s="839"/>
      <c r="M46" s="840"/>
      <c r="N46" s="918"/>
      <c r="O46" s="918"/>
      <c r="P46" s="918"/>
      <c r="Q46" s="105"/>
      <c r="S46" s="409"/>
      <c r="T46" s="411"/>
      <c r="U46" s="1258"/>
      <c r="V46" s="1258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>
      <c r="B47" s="116"/>
      <c r="C47" s="1226" t="s">
        <v>1083</v>
      </c>
      <c r="D47" s="1249"/>
      <c r="E47" s="1250" t="s">
        <v>274</v>
      </c>
      <c r="F47" s="1251" t="s">
        <v>1093</v>
      </c>
      <c r="G47" s="493">
        <v>79171.47</v>
      </c>
      <c r="H47" s="515">
        <v>40819.69</v>
      </c>
      <c r="I47" s="1342">
        <v>54572.19</v>
      </c>
      <c r="J47" s="889">
        <v>40819.69</v>
      </c>
      <c r="K47" s="839"/>
      <c r="L47" s="839"/>
      <c r="M47" s="840"/>
      <c r="N47" s="918"/>
      <c r="O47" s="918"/>
      <c r="P47" s="918"/>
      <c r="Q47" s="105"/>
      <c r="S47" s="409"/>
      <c r="T47" s="411"/>
      <c r="U47" s="1258"/>
      <c r="V47" s="1258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1226" t="s">
        <v>1084</v>
      </c>
      <c r="D48" s="1249"/>
      <c r="E48" s="1250" t="s">
        <v>274</v>
      </c>
      <c r="F48" s="1251" t="s">
        <v>1092</v>
      </c>
      <c r="G48" s="493">
        <v>42000</v>
      </c>
      <c r="H48" s="515">
        <v>42000</v>
      </c>
      <c r="I48" s="1342">
        <v>42000</v>
      </c>
      <c r="J48" s="889">
        <v>42000</v>
      </c>
      <c r="K48" s="839"/>
      <c r="L48" s="839"/>
      <c r="M48" s="840"/>
      <c r="N48" s="918"/>
      <c r="O48" s="918"/>
      <c r="P48" s="918"/>
      <c r="Q48" s="105"/>
      <c r="S48" s="409"/>
      <c r="T48" s="411"/>
      <c r="U48" s="1258"/>
      <c r="V48" s="1258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1226" t="s">
        <v>1085</v>
      </c>
      <c r="D49" s="1249"/>
      <c r="E49" s="1250" t="s">
        <v>70</v>
      </c>
      <c r="F49" s="1251"/>
      <c r="G49" s="493">
        <v>16000</v>
      </c>
      <c r="H49" s="515"/>
      <c r="I49" s="1342">
        <v>16000</v>
      </c>
      <c r="J49" s="889"/>
      <c r="K49" s="839"/>
      <c r="L49" s="839"/>
      <c r="M49" s="840"/>
      <c r="N49" s="918"/>
      <c r="O49" s="918"/>
      <c r="P49" s="918"/>
      <c r="Q49" s="105"/>
      <c r="S49" s="409"/>
      <c r="T49" s="411"/>
      <c r="U49" s="1258"/>
      <c r="V49" s="1258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ht="22.5" customHeight="1">
      <c r="B50" s="116"/>
      <c r="C50" s="1226" t="s">
        <v>1086</v>
      </c>
      <c r="D50" s="1249"/>
      <c r="E50" s="1250" t="s">
        <v>70</v>
      </c>
      <c r="F50" s="1251"/>
      <c r="G50" s="493">
        <v>161208.31</v>
      </c>
      <c r="H50" s="515"/>
      <c r="I50" s="1342">
        <v>161208.31</v>
      </c>
      <c r="J50" s="889"/>
      <c r="K50" s="839"/>
      <c r="L50" s="839"/>
      <c r="M50" s="840"/>
      <c r="N50" s="918"/>
      <c r="O50" s="918"/>
      <c r="P50" s="918"/>
      <c r="Q50" s="105"/>
      <c r="S50" s="409"/>
      <c r="T50" s="411"/>
      <c r="U50" s="1258"/>
      <c r="V50" s="1258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ht="22.5" customHeight="1">
      <c r="B51" s="116"/>
      <c r="C51" s="1226" t="s">
        <v>1087</v>
      </c>
      <c r="D51" s="1249"/>
      <c r="E51" s="1250" t="s">
        <v>274</v>
      </c>
      <c r="F51" s="1251" t="s">
        <v>1094</v>
      </c>
      <c r="G51" s="493"/>
      <c r="H51" s="515">
        <v>136000</v>
      </c>
      <c r="I51" s="889"/>
      <c r="J51" s="889">
        <v>136000</v>
      </c>
      <c r="K51" s="839"/>
      <c r="L51" s="839"/>
      <c r="M51" s="840"/>
      <c r="N51" s="918"/>
      <c r="O51" s="918"/>
      <c r="P51" s="918"/>
      <c r="Q51" s="105"/>
      <c r="S51" s="409"/>
      <c r="T51" s="411"/>
      <c r="U51" s="1258"/>
      <c r="V51" s="1258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226" t="s">
        <v>1088</v>
      </c>
      <c r="D52" s="1249"/>
      <c r="E52" s="1250" t="s">
        <v>274</v>
      </c>
      <c r="F52" s="1251" t="s">
        <v>1093</v>
      </c>
      <c r="G52" s="493">
        <v>2166.67</v>
      </c>
      <c r="H52" s="515">
        <v>13000</v>
      </c>
      <c r="I52" s="889">
        <v>2166.67</v>
      </c>
      <c r="J52" s="889">
        <v>13000</v>
      </c>
      <c r="K52" s="839"/>
      <c r="L52" s="839"/>
      <c r="M52" s="840"/>
      <c r="N52" s="918"/>
      <c r="O52" s="918"/>
      <c r="P52" s="918"/>
      <c r="Q52" s="105"/>
      <c r="S52" s="409"/>
      <c r="T52" s="411"/>
      <c r="U52" s="1258"/>
      <c r="V52" s="1258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1226" t="s">
        <v>1089</v>
      </c>
      <c r="D53" s="563"/>
      <c r="E53" s="1250" t="s">
        <v>274</v>
      </c>
      <c r="F53" s="1251" t="s">
        <v>1074</v>
      </c>
      <c r="G53" s="493">
        <v>86051.07</v>
      </c>
      <c r="H53" s="515"/>
      <c r="I53" s="889">
        <v>86051.07</v>
      </c>
      <c r="J53" s="889"/>
      <c r="K53" s="839"/>
      <c r="L53" s="839"/>
      <c r="M53" s="840"/>
      <c r="N53" s="918"/>
      <c r="O53" s="918"/>
      <c r="P53" s="918"/>
      <c r="Q53" s="105"/>
      <c r="S53" s="409"/>
      <c r="T53" s="411"/>
      <c r="U53" s="1258"/>
      <c r="V53" s="1258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1335" t="s">
        <v>1090</v>
      </c>
      <c r="D54" s="563"/>
      <c r="E54" s="1228" t="s">
        <v>274</v>
      </c>
      <c r="F54" s="1339" t="s">
        <v>1074</v>
      </c>
      <c r="G54" s="1254"/>
      <c r="H54" s="515">
        <v>86875.99</v>
      </c>
      <c r="I54" s="1255"/>
      <c r="J54" s="1255">
        <v>86875.99</v>
      </c>
      <c r="K54" s="1256"/>
      <c r="L54" s="1256"/>
      <c r="M54" s="1257"/>
      <c r="N54" s="918"/>
      <c r="O54" s="918"/>
      <c r="P54" s="918"/>
      <c r="Q54" s="105"/>
      <c r="S54" s="409"/>
      <c r="T54" s="411"/>
      <c r="U54" s="1258"/>
      <c r="V54" s="1258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1335" t="s">
        <v>1073</v>
      </c>
      <c r="D55" s="563"/>
      <c r="E55" s="1250" t="s">
        <v>274</v>
      </c>
      <c r="F55" s="1339" t="s">
        <v>1074</v>
      </c>
      <c r="G55" s="495"/>
      <c r="H55" s="515">
        <v>57478.55</v>
      </c>
      <c r="I55" s="891"/>
      <c r="J55" s="891">
        <v>57478.55</v>
      </c>
      <c r="K55" s="843"/>
      <c r="L55" s="843"/>
      <c r="M55" s="844"/>
      <c r="N55" s="918"/>
      <c r="O55" s="918"/>
      <c r="P55" s="918"/>
      <c r="Q55" s="105"/>
      <c r="S55" s="409"/>
      <c r="T55" s="411"/>
      <c r="U55" s="1258"/>
      <c r="V55" s="1258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8.5" customHeight="1">
      <c r="B56" s="116"/>
      <c r="C56" s="1336" t="s">
        <v>1091</v>
      </c>
      <c r="D56" s="563"/>
      <c r="E56" s="1250" t="s">
        <v>274</v>
      </c>
      <c r="F56" s="1340" t="s">
        <v>1095</v>
      </c>
      <c r="G56" s="495">
        <v>204859.76</v>
      </c>
      <c r="H56" s="515">
        <v>64148.03</v>
      </c>
      <c r="I56" s="891">
        <v>204859.76</v>
      </c>
      <c r="J56" s="891">
        <v>64148.03</v>
      </c>
      <c r="K56" s="843"/>
      <c r="L56" s="843"/>
      <c r="M56" s="844"/>
      <c r="N56" s="918"/>
      <c r="O56" s="918"/>
      <c r="P56" s="918"/>
      <c r="Q56" s="105"/>
      <c r="S56" s="409"/>
      <c r="T56" s="411"/>
      <c r="U56" s="1258"/>
      <c r="V56" s="1258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564"/>
      <c r="D57" s="565"/>
      <c r="E57" s="1253"/>
      <c r="F57" s="1252"/>
      <c r="G57" s="490"/>
      <c r="H57" s="516"/>
      <c r="I57" s="892"/>
      <c r="J57" s="892"/>
      <c r="K57" s="845"/>
      <c r="L57" s="845"/>
      <c r="M57" s="846"/>
      <c r="N57" s="918"/>
      <c r="O57" s="918"/>
      <c r="P57" s="918"/>
      <c r="Q57" s="105"/>
      <c r="S57" s="409"/>
      <c r="T57" s="411"/>
      <c r="U57" s="1258"/>
      <c r="V57" s="1258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 thickBot="1">
      <c r="B58" s="116"/>
      <c r="C58" s="1432" t="s">
        <v>439</v>
      </c>
      <c r="D58" s="1433"/>
      <c r="E58" s="1433"/>
      <c r="F58" s="1434"/>
      <c r="G58" s="175">
        <f>SUM(G39:G57)</f>
        <v>1475522.3</v>
      </c>
      <c r="H58" s="175">
        <f>SUM(H39:H57)</f>
        <v>599347.67</v>
      </c>
      <c r="I58" s="175">
        <f>SUM(I39:I57)</f>
        <v>1459485.1500000001</v>
      </c>
      <c r="J58" s="175">
        <f>SUM(J39:J57)</f>
        <v>599347.67</v>
      </c>
      <c r="K58" s="215"/>
      <c r="L58" s="153"/>
      <c r="M58" s="153"/>
      <c r="N58" s="153"/>
      <c r="O58" s="153"/>
      <c r="P58" s="153"/>
      <c r="Q58" s="105"/>
      <c r="S58" s="409"/>
      <c r="T58" s="411"/>
      <c r="U58" s="1258"/>
      <c r="V58" s="1258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782"/>
      <c r="D59" s="782"/>
      <c r="E59" s="782"/>
      <c r="F59" s="1259" t="s">
        <v>1011</v>
      </c>
      <c r="G59" s="217">
        <f>SUMIF(E39:E57,"Cabildo Insular de Tenerife",G39:G57)</f>
        <v>754572.21</v>
      </c>
      <c r="H59" s="217">
        <f>SUMIF(E39:E57,"Cabildo Insular de Tenerife",H39:H57)</f>
        <v>0</v>
      </c>
      <c r="I59" s="217">
        <f>SUMIF(E39:E57,"Cabildo Insular de Tenerife",I39:I57)</f>
        <v>874208.31</v>
      </c>
      <c r="J59" s="217">
        <f>SUMIF(E39:E57,"Cabildo Insular de Tenerife",J39:J57)</f>
        <v>0</v>
      </c>
      <c r="K59" s="153"/>
      <c r="L59" s="153"/>
      <c r="M59" s="153"/>
      <c r="N59" s="153"/>
      <c r="O59" s="153"/>
      <c r="P59" s="153"/>
      <c r="Q59" s="105"/>
      <c r="S59" s="409"/>
      <c r="T59" s="411"/>
      <c r="U59" s="1258"/>
      <c r="V59" s="1258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216"/>
      <c r="D60" s="216"/>
      <c r="E60" s="217"/>
      <c r="F60" s="217"/>
      <c r="G60" s="218"/>
      <c r="H60" s="218"/>
      <c r="I60" s="218"/>
      <c r="J60" s="218"/>
      <c r="K60" s="217"/>
      <c r="L60" s="217"/>
      <c r="M60" s="219"/>
      <c r="N60" s="219"/>
      <c r="O60" s="219"/>
      <c r="P60" s="219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s="114" customFormat="1" ht="30" customHeight="1">
      <c r="B61" s="110"/>
      <c r="C61" s="65" t="s">
        <v>702</v>
      </c>
      <c r="D61" s="21"/>
      <c r="E61" s="95"/>
      <c r="F61" s="95"/>
      <c r="G61" s="95"/>
      <c r="H61" s="95"/>
      <c r="I61" s="95"/>
      <c r="J61" s="95"/>
      <c r="K61" s="95"/>
      <c r="L61" s="95"/>
      <c r="M61" s="95"/>
      <c r="N61" s="219"/>
      <c r="O61" s="219"/>
      <c r="P61" s="219"/>
      <c r="Q61" s="113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s="114" customFormat="1" ht="30" customHeight="1">
      <c r="B62" s="110"/>
      <c r="C62" s="1443" t="s">
        <v>779</v>
      </c>
      <c r="D62" s="1444"/>
      <c r="E62" s="1449"/>
      <c r="F62" s="1450"/>
      <c r="G62" s="1439" t="s">
        <v>788</v>
      </c>
      <c r="H62" s="1440"/>
      <c r="I62" s="1439" t="s">
        <v>789</v>
      </c>
      <c r="J62" s="1440"/>
      <c r="K62" s="896"/>
      <c r="L62" s="896"/>
      <c r="M62" s="896"/>
      <c r="N62" s="219"/>
      <c r="O62" s="219"/>
      <c r="P62" s="219"/>
      <c r="Q62" s="113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>
      <c r="B63" s="116"/>
      <c r="C63" s="1441" t="s">
        <v>780</v>
      </c>
      <c r="D63" s="1442"/>
      <c r="E63" s="1447" t="s">
        <v>434</v>
      </c>
      <c r="F63" s="1448"/>
      <c r="G63" s="896">
        <f>ejercicio-1</f>
        <v>2019</v>
      </c>
      <c r="H63" s="896">
        <f>ejercicio</f>
        <v>2020</v>
      </c>
      <c r="I63" s="896">
        <f>ejercicio-1</f>
        <v>2019</v>
      </c>
      <c r="J63" s="896">
        <f>ejercicio</f>
        <v>2020</v>
      </c>
      <c r="K63" s="896" t="s">
        <v>436</v>
      </c>
      <c r="L63" s="896" t="s">
        <v>438</v>
      </c>
      <c r="M63" s="896" t="s">
        <v>437</v>
      </c>
      <c r="N63" s="219"/>
      <c r="O63" s="219"/>
      <c r="P63" s="219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981" t="s">
        <v>1125</v>
      </c>
      <c r="D64" s="561"/>
      <c r="E64" s="1445" t="s">
        <v>1124</v>
      </c>
      <c r="F64" s="1446"/>
      <c r="G64" s="482"/>
      <c r="H64" s="511">
        <v>375000</v>
      </c>
      <c r="I64" s="888"/>
      <c r="J64" s="888">
        <v>375000</v>
      </c>
      <c r="K64" s="837"/>
      <c r="L64" s="837"/>
      <c r="M64" s="838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ht="22.5" customHeight="1">
      <c r="B65" s="116"/>
      <c r="C65" s="562"/>
      <c r="D65" s="563"/>
      <c r="E65" s="1435"/>
      <c r="F65" s="1436"/>
      <c r="G65" s="493"/>
      <c r="H65" s="513"/>
      <c r="I65" s="889"/>
      <c r="J65" s="889"/>
      <c r="K65" s="839"/>
      <c r="L65" s="839"/>
      <c r="M65" s="840"/>
      <c r="N65" s="219"/>
      <c r="O65" s="219"/>
      <c r="P65" s="219"/>
      <c r="Q65" s="105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562"/>
      <c r="D66" s="563"/>
      <c r="E66" s="1451"/>
      <c r="F66" s="1452"/>
      <c r="G66" s="493"/>
      <c r="H66" s="513"/>
      <c r="I66" s="889"/>
      <c r="J66" s="889"/>
      <c r="K66" s="839"/>
      <c r="L66" s="839"/>
      <c r="M66" s="840"/>
      <c r="N66" s="918"/>
      <c r="O66" s="918"/>
      <c r="P66" s="918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2"/>
      <c r="D67" s="563"/>
      <c r="E67" s="1451"/>
      <c r="F67" s="1452"/>
      <c r="G67" s="493"/>
      <c r="H67" s="513"/>
      <c r="I67" s="889"/>
      <c r="J67" s="889"/>
      <c r="K67" s="839"/>
      <c r="L67" s="839"/>
      <c r="M67" s="840"/>
      <c r="N67" s="918"/>
      <c r="O67" s="918"/>
      <c r="P67" s="918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2"/>
      <c r="D68" s="563"/>
      <c r="E68" s="1451"/>
      <c r="F68" s="1452"/>
      <c r="G68" s="486"/>
      <c r="H68" s="514"/>
      <c r="I68" s="890"/>
      <c r="J68" s="890"/>
      <c r="K68" s="841"/>
      <c r="L68" s="841"/>
      <c r="M68" s="842"/>
      <c r="N68" s="918"/>
      <c r="O68" s="918"/>
      <c r="P68" s="918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562"/>
      <c r="D69" s="563"/>
      <c r="E69" s="1451"/>
      <c r="F69" s="1452"/>
      <c r="G69" s="486"/>
      <c r="H69" s="514"/>
      <c r="I69" s="890"/>
      <c r="J69" s="890"/>
      <c r="K69" s="841"/>
      <c r="L69" s="841"/>
      <c r="M69" s="842"/>
      <c r="N69" s="918"/>
      <c r="O69" s="918"/>
      <c r="P69" s="918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2"/>
      <c r="D70" s="563"/>
      <c r="E70" s="1435"/>
      <c r="F70" s="1436"/>
      <c r="G70" s="486"/>
      <c r="H70" s="514"/>
      <c r="I70" s="890"/>
      <c r="J70" s="890"/>
      <c r="K70" s="841"/>
      <c r="L70" s="841"/>
      <c r="M70" s="842"/>
      <c r="N70" s="918"/>
      <c r="O70" s="918"/>
      <c r="P70" s="918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2"/>
      <c r="D71" s="563"/>
      <c r="E71" s="1435"/>
      <c r="F71" s="1436"/>
      <c r="G71" s="495"/>
      <c r="H71" s="515"/>
      <c r="I71" s="891"/>
      <c r="J71" s="891"/>
      <c r="K71" s="843"/>
      <c r="L71" s="843"/>
      <c r="M71" s="844"/>
      <c r="N71" s="918"/>
      <c r="O71" s="918"/>
      <c r="P71" s="918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2"/>
      <c r="D72" s="563"/>
      <c r="E72" s="1435"/>
      <c r="F72" s="1436"/>
      <c r="G72" s="495"/>
      <c r="H72" s="515"/>
      <c r="I72" s="891"/>
      <c r="J72" s="891"/>
      <c r="K72" s="843"/>
      <c r="L72" s="843"/>
      <c r="M72" s="844"/>
      <c r="N72" s="918"/>
      <c r="O72" s="918"/>
      <c r="P72" s="918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4"/>
      <c r="D73" s="565"/>
      <c r="E73" s="1437"/>
      <c r="F73" s="1438"/>
      <c r="G73" s="490"/>
      <c r="H73" s="516"/>
      <c r="I73" s="892"/>
      <c r="J73" s="892"/>
      <c r="K73" s="845"/>
      <c r="L73" s="845"/>
      <c r="M73" s="846"/>
      <c r="N73" s="918"/>
      <c r="O73" s="918"/>
      <c r="P73" s="918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 thickBot="1">
      <c r="B74" s="116"/>
      <c r="C74" s="1432" t="s">
        <v>439</v>
      </c>
      <c r="D74" s="1433"/>
      <c r="E74" s="1433"/>
      <c r="F74" s="1434"/>
      <c r="G74" s="175">
        <f>SUM(G64:G73)</f>
        <v>0</v>
      </c>
      <c r="H74" s="175">
        <f>SUM(H64:H73)</f>
        <v>375000</v>
      </c>
      <c r="I74" s="175">
        <f>SUM(I64:I73)</f>
        <v>0</v>
      </c>
      <c r="J74" s="175">
        <f>SUM(J64:J73)</f>
        <v>375000</v>
      </c>
      <c r="K74" s="215"/>
      <c r="L74" s="153"/>
      <c r="M74" s="153"/>
      <c r="N74" s="153"/>
      <c r="O74" s="153"/>
      <c r="P74" s="153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216"/>
      <c r="D75" s="216"/>
      <c r="E75" s="217"/>
      <c r="F75" s="217"/>
      <c r="G75" s="218"/>
      <c r="H75" s="218"/>
      <c r="I75" s="218"/>
      <c r="J75" s="218"/>
      <c r="K75" s="217"/>
      <c r="L75" s="217"/>
      <c r="M75" s="219"/>
      <c r="N75" s="219"/>
      <c r="O75" s="219"/>
      <c r="P75" s="219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s="114" customFormat="1" ht="30" customHeight="1">
      <c r="B76" s="110"/>
      <c r="C76" s="65" t="s">
        <v>802</v>
      </c>
      <c r="D76" s="21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113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>
      <c r="B77" s="116"/>
      <c r="C77" s="1417" t="s">
        <v>779</v>
      </c>
      <c r="D77" s="1419"/>
      <c r="E77" s="1439" t="s">
        <v>434</v>
      </c>
      <c r="F77" s="1440"/>
      <c r="G77" s="896">
        <f>ejercicio-1</f>
        <v>2019</v>
      </c>
      <c r="H77" s="896">
        <f>ejercicio</f>
        <v>2020</v>
      </c>
      <c r="I77" s="896" t="s">
        <v>436</v>
      </c>
      <c r="J77" s="896" t="s">
        <v>438</v>
      </c>
      <c r="K77" s="896" t="s">
        <v>437</v>
      </c>
      <c r="L77" s="96"/>
      <c r="M77" s="96"/>
      <c r="N77" s="96"/>
      <c r="O77" s="96"/>
      <c r="P77" s="96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560"/>
      <c r="D78" s="561"/>
      <c r="E78" s="1435"/>
      <c r="F78" s="1436"/>
      <c r="G78" s="482"/>
      <c r="H78" s="511"/>
      <c r="I78" s="837"/>
      <c r="J78" s="837"/>
      <c r="K78" s="838"/>
      <c r="L78" s="96"/>
      <c r="M78" s="96"/>
      <c r="N78" s="96"/>
      <c r="O78" s="96"/>
      <c r="P78" s="96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562"/>
      <c r="D79" s="563"/>
      <c r="E79" s="1435"/>
      <c r="F79" s="1436"/>
      <c r="G79" s="493"/>
      <c r="H79" s="513"/>
      <c r="I79" s="839"/>
      <c r="J79" s="839"/>
      <c r="K79" s="840"/>
      <c r="L79" s="96"/>
      <c r="M79" s="96"/>
      <c r="N79" s="96"/>
      <c r="O79" s="96"/>
      <c r="P79" s="96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22.5" customHeight="1">
      <c r="B80" s="116"/>
      <c r="C80" s="562"/>
      <c r="D80" s="563"/>
      <c r="E80" s="1435"/>
      <c r="F80" s="1436"/>
      <c r="G80" s="493"/>
      <c r="H80" s="513"/>
      <c r="I80" s="839"/>
      <c r="J80" s="839"/>
      <c r="K80" s="840"/>
      <c r="L80" s="96"/>
      <c r="M80" s="96"/>
      <c r="N80" s="96"/>
      <c r="O80" s="96"/>
      <c r="P80" s="96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22.5" customHeight="1">
      <c r="B81" s="116"/>
      <c r="C81" s="562"/>
      <c r="D81" s="563"/>
      <c r="E81" s="1435"/>
      <c r="F81" s="1436"/>
      <c r="G81" s="493"/>
      <c r="H81" s="513"/>
      <c r="I81" s="839"/>
      <c r="J81" s="839"/>
      <c r="K81" s="840"/>
      <c r="L81" s="96"/>
      <c r="M81" s="96"/>
      <c r="N81" s="96"/>
      <c r="O81" s="96"/>
      <c r="P81" s="96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22.5" customHeight="1">
      <c r="B82" s="116"/>
      <c r="C82" s="562"/>
      <c r="D82" s="563"/>
      <c r="E82" s="1435"/>
      <c r="F82" s="1436"/>
      <c r="G82" s="486"/>
      <c r="H82" s="514"/>
      <c r="I82" s="841"/>
      <c r="J82" s="841"/>
      <c r="K82" s="842"/>
      <c r="L82" s="96"/>
      <c r="M82" s="96"/>
      <c r="N82" s="96"/>
      <c r="O82" s="96"/>
      <c r="P82" s="96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22.5" customHeight="1">
      <c r="B83" s="116"/>
      <c r="C83" s="562"/>
      <c r="D83" s="563"/>
      <c r="E83" s="1435"/>
      <c r="F83" s="1436"/>
      <c r="G83" s="486"/>
      <c r="H83" s="514"/>
      <c r="I83" s="841"/>
      <c r="J83" s="841"/>
      <c r="K83" s="842"/>
      <c r="L83" s="96"/>
      <c r="M83" s="96"/>
      <c r="N83" s="96"/>
      <c r="O83" s="96"/>
      <c r="P83" s="96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22.5" customHeight="1">
      <c r="B84" s="116"/>
      <c r="C84" s="562"/>
      <c r="D84" s="563"/>
      <c r="E84" s="1435"/>
      <c r="F84" s="1436"/>
      <c r="G84" s="486"/>
      <c r="H84" s="514"/>
      <c r="I84" s="841"/>
      <c r="J84" s="841"/>
      <c r="K84" s="842"/>
      <c r="L84" s="96"/>
      <c r="M84" s="96"/>
      <c r="N84" s="96"/>
      <c r="O84" s="96"/>
      <c r="P84" s="96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22.5" customHeight="1">
      <c r="B85" s="116"/>
      <c r="C85" s="562"/>
      <c r="D85" s="563"/>
      <c r="E85" s="1435"/>
      <c r="F85" s="1436"/>
      <c r="G85" s="495"/>
      <c r="H85" s="515"/>
      <c r="I85" s="843"/>
      <c r="J85" s="843"/>
      <c r="K85" s="844"/>
      <c r="L85" s="96"/>
      <c r="M85" s="96"/>
      <c r="N85" s="96"/>
      <c r="O85" s="96"/>
      <c r="P85" s="96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22.5" customHeight="1">
      <c r="B86" s="116"/>
      <c r="C86" s="562"/>
      <c r="D86" s="563"/>
      <c r="E86" s="1435"/>
      <c r="F86" s="1436"/>
      <c r="G86" s="495"/>
      <c r="H86" s="515"/>
      <c r="I86" s="843"/>
      <c r="J86" s="843"/>
      <c r="K86" s="844"/>
      <c r="L86" s="96"/>
      <c r="M86" s="96"/>
      <c r="N86" s="96"/>
      <c r="O86" s="96"/>
      <c r="P86" s="96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22.5" customHeight="1">
      <c r="B87" s="116"/>
      <c r="C87" s="564"/>
      <c r="D87" s="565"/>
      <c r="E87" s="1435"/>
      <c r="F87" s="1436"/>
      <c r="G87" s="490"/>
      <c r="H87" s="516"/>
      <c r="I87" s="845"/>
      <c r="J87" s="845"/>
      <c r="K87" s="846"/>
      <c r="L87" s="96"/>
      <c r="M87" s="96"/>
      <c r="N87" s="96"/>
      <c r="O87" s="96"/>
      <c r="P87" s="96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22.5" customHeight="1" thickBot="1">
      <c r="B88" s="116"/>
      <c r="C88" s="1432" t="s">
        <v>803</v>
      </c>
      <c r="D88" s="1433"/>
      <c r="E88" s="1433"/>
      <c r="F88" s="1434"/>
      <c r="G88" s="175">
        <f>SUM(G78:G87)</f>
        <v>0</v>
      </c>
      <c r="H88" s="175">
        <f>SUM(H78:H87)</f>
        <v>0</v>
      </c>
      <c r="I88" s="95"/>
      <c r="J88" s="95"/>
      <c r="K88" s="170"/>
      <c r="L88" s="153"/>
      <c r="M88" s="153"/>
      <c r="N88" s="153"/>
      <c r="O88" s="153"/>
      <c r="P88" s="153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22.5" customHeight="1">
      <c r="B89" s="116"/>
      <c r="C89" s="216"/>
      <c r="D89" s="216"/>
      <c r="E89" s="217"/>
      <c r="F89" s="217"/>
      <c r="G89" s="218"/>
      <c r="H89" s="218"/>
      <c r="I89" s="218"/>
      <c r="J89" s="218"/>
      <c r="K89" s="218"/>
      <c r="L89" s="95"/>
      <c r="M89" s="95"/>
      <c r="N89" s="170"/>
      <c r="O89" s="217"/>
      <c r="P89" s="219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ht="22.5" customHeight="1">
      <c r="B90" s="116"/>
      <c r="C90" s="171" t="s">
        <v>782</v>
      </c>
      <c r="D90" s="169"/>
      <c r="E90" s="170"/>
      <c r="F90" s="170"/>
      <c r="G90" s="170"/>
      <c r="H90" s="170"/>
      <c r="I90" s="170"/>
      <c r="J90" s="170"/>
      <c r="K90" s="170"/>
      <c r="L90" s="95"/>
      <c r="M90" s="95"/>
      <c r="N90" s="170"/>
      <c r="O90" s="170"/>
      <c r="P90" s="95"/>
      <c r="Q90" s="105"/>
      <c r="S90" s="409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2"/>
    </row>
    <row r="91" spans="2:33" ht="18">
      <c r="B91" s="116"/>
      <c r="C91" s="882"/>
      <c r="D91" s="882"/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4"/>
      <c r="Q91" s="105"/>
      <c r="S91" s="409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2"/>
    </row>
    <row r="92" spans="2:33" ht="18">
      <c r="B92" s="116"/>
      <c r="C92" s="885"/>
      <c r="D92" s="885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7"/>
      <c r="Q92" s="105"/>
      <c r="S92" s="409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2"/>
    </row>
    <row r="93" spans="2:33" ht="18">
      <c r="B93" s="116"/>
      <c r="C93" s="885"/>
      <c r="D93" s="885"/>
      <c r="E93" s="886"/>
      <c r="F93" s="886"/>
      <c r="G93" s="886"/>
      <c r="H93" s="886"/>
      <c r="I93" s="886"/>
      <c r="J93" s="886"/>
      <c r="K93" s="886"/>
      <c r="L93" s="886"/>
      <c r="M93" s="886"/>
      <c r="N93" s="886"/>
      <c r="O93" s="886"/>
      <c r="P93" s="887"/>
      <c r="Q93" s="105"/>
      <c r="S93" s="409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2"/>
    </row>
    <row r="94" spans="2:33" ht="18">
      <c r="B94" s="116"/>
      <c r="C94" s="885"/>
      <c r="D94" s="885"/>
      <c r="E94" s="886"/>
      <c r="F94" s="886"/>
      <c r="G94" s="886"/>
      <c r="H94" s="886"/>
      <c r="I94" s="886"/>
      <c r="J94" s="886"/>
      <c r="K94" s="886"/>
      <c r="L94" s="886"/>
      <c r="M94" s="886"/>
      <c r="N94" s="886"/>
      <c r="O94" s="886"/>
      <c r="P94" s="887"/>
      <c r="Q94" s="105"/>
      <c r="S94" s="409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2"/>
    </row>
    <row r="95" spans="2:33" ht="18">
      <c r="B95" s="116"/>
      <c r="C95" s="885"/>
      <c r="D95" s="885"/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7"/>
      <c r="Q95" s="105"/>
      <c r="S95" s="409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2"/>
    </row>
    <row r="96" spans="2:33" ht="18">
      <c r="B96" s="116"/>
      <c r="C96" s="885"/>
      <c r="D96" s="885"/>
      <c r="E96" s="886"/>
      <c r="F96" s="886"/>
      <c r="G96" s="886"/>
      <c r="H96" s="886"/>
      <c r="I96" s="886"/>
      <c r="J96" s="886"/>
      <c r="K96" s="886"/>
      <c r="L96" s="886"/>
      <c r="M96" s="886"/>
      <c r="N96" s="886"/>
      <c r="O96" s="886"/>
      <c r="P96" s="887"/>
      <c r="Q96" s="105"/>
      <c r="S96" s="409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1"/>
      <c r="AF96" s="411"/>
      <c r="AG96" s="412"/>
    </row>
    <row r="97" spans="2:33" ht="18">
      <c r="B97" s="116"/>
      <c r="C97" s="885"/>
      <c r="D97" s="885"/>
      <c r="E97" s="886"/>
      <c r="F97" s="886"/>
      <c r="G97" s="886"/>
      <c r="H97" s="886"/>
      <c r="I97" s="886"/>
      <c r="J97" s="886"/>
      <c r="K97" s="886"/>
      <c r="L97" s="886"/>
      <c r="M97" s="886"/>
      <c r="N97" s="886"/>
      <c r="O97" s="886"/>
      <c r="P97" s="887"/>
      <c r="Q97" s="105"/>
      <c r="S97" s="409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2"/>
    </row>
    <row r="98" spans="2:33" ht="18">
      <c r="B98" s="116"/>
      <c r="C98" s="885"/>
      <c r="D98" s="885"/>
      <c r="E98" s="886"/>
      <c r="F98" s="886"/>
      <c r="G98" s="886"/>
      <c r="H98" s="886"/>
      <c r="I98" s="886"/>
      <c r="J98" s="886"/>
      <c r="K98" s="886"/>
      <c r="L98" s="886"/>
      <c r="M98" s="886"/>
      <c r="N98" s="886"/>
      <c r="O98" s="886"/>
      <c r="P98" s="887"/>
      <c r="Q98" s="105"/>
      <c r="S98" s="409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2"/>
    </row>
    <row r="99" spans="2:33" ht="18">
      <c r="B99" s="116"/>
      <c r="C99" s="885"/>
      <c r="D99" s="885"/>
      <c r="E99" s="886"/>
      <c r="F99" s="886"/>
      <c r="G99" s="886"/>
      <c r="H99" s="886"/>
      <c r="I99" s="886"/>
      <c r="J99" s="886"/>
      <c r="K99" s="886"/>
      <c r="L99" s="886"/>
      <c r="M99" s="886"/>
      <c r="N99" s="886"/>
      <c r="O99" s="886"/>
      <c r="P99" s="887"/>
      <c r="Q99" s="105"/>
      <c r="S99" s="409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2"/>
    </row>
    <row r="100" spans="2:33" ht="18">
      <c r="B100" s="116"/>
      <c r="C100" s="885"/>
      <c r="D100" s="885"/>
      <c r="E100" s="886"/>
      <c r="F100" s="886"/>
      <c r="G100" s="886"/>
      <c r="H100" s="886"/>
      <c r="I100" s="886"/>
      <c r="J100" s="886"/>
      <c r="K100" s="886"/>
      <c r="L100" s="886"/>
      <c r="M100" s="886"/>
      <c r="N100" s="886"/>
      <c r="O100" s="886"/>
      <c r="P100" s="887"/>
      <c r="Q100" s="105"/>
      <c r="S100" s="409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2"/>
    </row>
    <row r="101" spans="2:33" s="615" customFormat="1" ht="18">
      <c r="B101" s="638"/>
      <c r="C101" s="694" t="s">
        <v>783</v>
      </c>
      <c r="D101" s="1278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36"/>
      <c r="Q101" s="626"/>
      <c r="S101" s="986"/>
      <c r="T101" s="988"/>
      <c r="U101" s="988"/>
      <c r="V101" s="988"/>
      <c r="W101" s="988"/>
      <c r="X101" s="988"/>
      <c r="Y101" s="988"/>
      <c r="Z101" s="988"/>
      <c r="AA101" s="988"/>
      <c r="AB101" s="988"/>
      <c r="AC101" s="988"/>
      <c r="AD101" s="988"/>
      <c r="AE101" s="988"/>
      <c r="AF101" s="988"/>
      <c r="AG101" s="989"/>
    </row>
    <row r="102" spans="2:33" s="615" customFormat="1" ht="18">
      <c r="B102" s="638"/>
      <c r="C102" s="1279" t="s">
        <v>795</v>
      </c>
      <c r="D102" s="1278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36"/>
      <c r="Q102" s="626"/>
      <c r="S102" s="986"/>
      <c r="T102" s="988"/>
      <c r="U102" s="988"/>
      <c r="V102" s="988"/>
      <c r="W102" s="988"/>
      <c r="X102" s="988"/>
      <c r="Y102" s="988"/>
      <c r="Z102" s="988"/>
      <c r="AA102" s="988"/>
      <c r="AB102" s="988"/>
      <c r="AC102" s="988"/>
      <c r="AD102" s="988"/>
      <c r="AE102" s="988"/>
      <c r="AF102" s="988"/>
      <c r="AG102" s="989"/>
    </row>
    <row r="103" spans="2:33" s="615" customFormat="1" ht="18">
      <c r="B103" s="638"/>
      <c r="C103" s="1279" t="s">
        <v>793</v>
      </c>
      <c r="D103" s="1278"/>
      <c r="E103" s="696"/>
      <c r="F103" s="696"/>
      <c r="G103" s="1277">
        <f>ejercicio-1</f>
        <v>2019</v>
      </c>
      <c r="H103" s="696" t="s">
        <v>794</v>
      </c>
      <c r="I103" s="696"/>
      <c r="J103" s="696"/>
      <c r="K103" s="1277">
        <f>ejercicio</f>
        <v>2020</v>
      </c>
      <c r="L103" s="696"/>
      <c r="M103" s="696"/>
      <c r="N103" s="617"/>
      <c r="O103" s="696"/>
      <c r="P103" s="636"/>
      <c r="Q103" s="626"/>
      <c r="S103" s="986"/>
      <c r="T103" s="988"/>
      <c r="U103" s="988"/>
      <c r="V103" s="988"/>
      <c r="W103" s="988"/>
      <c r="X103" s="988"/>
      <c r="Y103" s="988"/>
      <c r="Z103" s="988"/>
      <c r="AA103" s="988"/>
      <c r="AB103" s="988"/>
      <c r="AC103" s="988"/>
      <c r="AD103" s="988"/>
      <c r="AE103" s="988"/>
      <c r="AF103" s="988"/>
      <c r="AG103" s="989"/>
    </row>
    <row r="104" spans="2:33" s="615" customFormat="1" ht="18">
      <c r="B104" s="638"/>
      <c r="C104" s="1279" t="s">
        <v>797</v>
      </c>
      <c r="D104" s="1278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36"/>
      <c r="Q104" s="626"/>
      <c r="S104" s="986"/>
      <c r="T104" s="988"/>
      <c r="U104" s="988"/>
      <c r="V104" s="988"/>
      <c r="W104" s="988"/>
      <c r="X104" s="988"/>
      <c r="Y104" s="988"/>
      <c r="Z104" s="988"/>
      <c r="AA104" s="988"/>
      <c r="AB104" s="988"/>
      <c r="AC104" s="988"/>
      <c r="AD104" s="988"/>
      <c r="AE104" s="988"/>
      <c r="AF104" s="988"/>
      <c r="AG104" s="989"/>
    </row>
    <row r="105" spans="2:33" s="615" customFormat="1" ht="18">
      <c r="B105" s="638"/>
      <c r="C105" s="1278" t="s">
        <v>796</v>
      </c>
      <c r="D105" s="1278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36"/>
      <c r="Q105" s="626"/>
      <c r="S105" s="986"/>
      <c r="T105" s="988"/>
      <c r="U105" s="988"/>
      <c r="V105" s="988"/>
      <c r="W105" s="988"/>
      <c r="X105" s="988"/>
      <c r="Y105" s="988"/>
      <c r="Z105" s="988"/>
      <c r="AA105" s="988"/>
      <c r="AB105" s="988"/>
      <c r="AC105" s="988"/>
      <c r="AD105" s="988"/>
      <c r="AE105" s="988"/>
      <c r="AF105" s="988"/>
      <c r="AG105" s="989"/>
    </row>
    <row r="106" spans="2:33" s="615" customFormat="1" ht="18">
      <c r="B106" s="638"/>
      <c r="C106" s="1279" t="s">
        <v>798</v>
      </c>
      <c r="D106" s="1278"/>
      <c r="E106" s="696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36"/>
      <c r="Q106" s="626"/>
      <c r="S106" s="986"/>
      <c r="T106" s="988"/>
      <c r="U106" s="988"/>
      <c r="V106" s="988"/>
      <c r="W106" s="988"/>
      <c r="X106" s="988"/>
      <c r="Y106" s="988"/>
      <c r="Z106" s="988"/>
      <c r="AA106" s="988"/>
      <c r="AB106" s="988"/>
      <c r="AC106" s="988"/>
      <c r="AD106" s="988"/>
      <c r="AE106" s="988"/>
      <c r="AF106" s="988"/>
      <c r="AG106" s="989"/>
    </row>
    <row r="107" spans="2:33" s="615" customFormat="1" ht="18">
      <c r="B107" s="638"/>
      <c r="C107" s="1278" t="s">
        <v>784</v>
      </c>
      <c r="D107" s="1278"/>
      <c r="E107" s="696"/>
      <c r="F107" s="696"/>
      <c r="G107" s="696"/>
      <c r="H107" s="696"/>
      <c r="I107" s="696"/>
      <c r="J107" s="696"/>
      <c r="K107" s="696"/>
      <c r="L107" s="696"/>
      <c r="M107" s="696"/>
      <c r="N107" s="696"/>
      <c r="O107" s="696"/>
      <c r="P107" s="636"/>
      <c r="Q107" s="626"/>
      <c r="S107" s="986"/>
      <c r="T107" s="988"/>
      <c r="U107" s="988"/>
      <c r="V107" s="988"/>
      <c r="W107" s="988"/>
      <c r="X107" s="988"/>
      <c r="Y107" s="988"/>
      <c r="Z107" s="988"/>
      <c r="AA107" s="988"/>
      <c r="AB107" s="988"/>
      <c r="AC107" s="988"/>
      <c r="AD107" s="988"/>
      <c r="AE107" s="988"/>
      <c r="AF107" s="988"/>
      <c r="AG107" s="989"/>
    </row>
    <row r="108" spans="2:33" s="615" customFormat="1" ht="18">
      <c r="B108" s="638"/>
      <c r="C108" s="1278" t="s">
        <v>804</v>
      </c>
      <c r="D108" s="1278"/>
      <c r="E108" s="696"/>
      <c r="F108" s="696"/>
      <c r="G108" s="696"/>
      <c r="H108" s="696"/>
      <c r="I108" s="696"/>
      <c r="J108" s="696"/>
      <c r="K108" s="696"/>
      <c r="L108" s="696"/>
      <c r="M108" s="696"/>
      <c r="N108" s="696"/>
      <c r="O108" s="696"/>
      <c r="P108" s="636"/>
      <c r="Q108" s="626"/>
      <c r="S108" s="986"/>
      <c r="T108" s="988"/>
      <c r="U108" s="988"/>
      <c r="V108" s="988"/>
      <c r="W108" s="988"/>
      <c r="X108" s="988"/>
      <c r="Y108" s="988"/>
      <c r="Z108" s="988"/>
      <c r="AA108" s="988"/>
      <c r="AB108" s="988"/>
      <c r="AC108" s="988"/>
      <c r="AD108" s="988"/>
      <c r="AE108" s="988"/>
      <c r="AF108" s="988"/>
      <c r="AG108" s="989"/>
    </row>
    <row r="109" spans="2:33" s="615" customFormat="1" ht="18">
      <c r="B109" s="638"/>
      <c r="C109" s="1278" t="s">
        <v>785</v>
      </c>
      <c r="D109" s="1278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36"/>
      <c r="Q109" s="626"/>
      <c r="S109" s="986"/>
      <c r="T109" s="988"/>
      <c r="U109" s="988"/>
      <c r="V109" s="988"/>
      <c r="W109" s="988"/>
      <c r="X109" s="988"/>
      <c r="Y109" s="988"/>
      <c r="Z109" s="988"/>
      <c r="AA109" s="988"/>
      <c r="AB109" s="988"/>
      <c r="AC109" s="988"/>
      <c r="AD109" s="988"/>
      <c r="AE109" s="988"/>
      <c r="AF109" s="988"/>
      <c r="AG109" s="989"/>
    </row>
    <row r="110" spans="2:33" s="615" customFormat="1" ht="18">
      <c r="B110" s="638"/>
      <c r="C110" s="1279" t="s">
        <v>799</v>
      </c>
      <c r="D110" s="1278"/>
      <c r="E110" s="696"/>
      <c r="F110" s="696"/>
      <c r="G110" s="696"/>
      <c r="H110" s="696"/>
      <c r="I110" s="696"/>
      <c r="J110" s="696"/>
      <c r="K110" s="696"/>
      <c r="L110" s="696"/>
      <c r="M110" s="696"/>
      <c r="N110" s="696"/>
      <c r="O110" s="696"/>
      <c r="P110" s="636"/>
      <c r="Q110" s="626"/>
      <c r="S110" s="986"/>
      <c r="T110" s="988"/>
      <c r="U110" s="988"/>
      <c r="V110" s="988"/>
      <c r="W110" s="988"/>
      <c r="X110" s="988"/>
      <c r="Y110" s="988"/>
      <c r="Z110" s="988"/>
      <c r="AA110" s="988"/>
      <c r="AB110" s="988"/>
      <c r="AC110" s="988"/>
      <c r="AD110" s="988"/>
      <c r="AE110" s="988"/>
      <c r="AF110" s="988"/>
      <c r="AG110" s="989"/>
    </row>
    <row r="111" spans="2:33" s="615" customFormat="1" ht="18">
      <c r="B111" s="638"/>
      <c r="C111" s="1279" t="s">
        <v>806</v>
      </c>
      <c r="D111" s="1278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36"/>
      <c r="Q111" s="626"/>
      <c r="S111" s="986"/>
      <c r="T111" s="988"/>
      <c r="U111" s="988"/>
      <c r="V111" s="988"/>
      <c r="W111" s="988"/>
      <c r="X111" s="988"/>
      <c r="Y111" s="988"/>
      <c r="Z111" s="988"/>
      <c r="AA111" s="988"/>
      <c r="AB111" s="988"/>
      <c r="AC111" s="988"/>
      <c r="AD111" s="988"/>
      <c r="AE111" s="988"/>
      <c r="AF111" s="988"/>
      <c r="AG111" s="989"/>
    </row>
    <row r="112" spans="2:33" s="615" customFormat="1" ht="18">
      <c r="B112" s="638"/>
      <c r="C112" s="1278" t="s">
        <v>790</v>
      </c>
      <c r="D112" s="1278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36"/>
      <c r="Q112" s="626"/>
      <c r="S112" s="986"/>
      <c r="T112" s="988"/>
      <c r="U112" s="988"/>
      <c r="V112" s="988"/>
      <c r="W112" s="988"/>
      <c r="X112" s="988"/>
      <c r="Y112" s="988"/>
      <c r="Z112" s="988"/>
      <c r="AA112" s="988"/>
      <c r="AB112" s="988"/>
      <c r="AC112" s="988"/>
      <c r="AD112" s="988"/>
      <c r="AE112" s="988"/>
      <c r="AF112" s="988"/>
      <c r="AG112" s="989"/>
    </row>
    <row r="113" spans="2:33" s="615" customFormat="1" ht="18">
      <c r="B113" s="638"/>
      <c r="C113" s="1279" t="s">
        <v>800</v>
      </c>
      <c r="D113" s="1278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36"/>
      <c r="Q113" s="626"/>
      <c r="S113" s="986"/>
      <c r="T113" s="988"/>
      <c r="U113" s="988"/>
      <c r="V113" s="988"/>
      <c r="W113" s="988"/>
      <c r="X113" s="988"/>
      <c r="Y113" s="988"/>
      <c r="Z113" s="988"/>
      <c r="AA113" s="988"/>
      <c r="AB113" s="988"/>
      <c r="AC113" s="988"/>
      <c r="AD113" s="988"/>
      <c r="AE113" s="988"/>
      <c r="AF113" s="988"/>
      <c r="AG113" s="989"/>
    </row>
    <row r="114" spans="2:33" s="1285" customFormat="1" ht="18">
      <c r="B114" s="1280"/>
      <c r="C114" s="1281" t="s">
        <v>805</v>
      </c>
      <c r="D114" s="1282"/>
      <c r="E114" s="1283"/>
      <c r="F114" s="1283"/>
      <c r="G114" s="1283"/>
      <c r="H114" s="1283"/>
      <c r="I114" s="1283"/>
      <c r="J114" s="1283"/>
      <c r="K114" s="1283"/>
      <c r="L114" s="1283"/>
      <c r="M114" s="1283"/>
      <c r="N114" s="1283"/>
      <c r="O114" s="1283"/>
      <c r="P114" s="1284"/>
      <c r="Q114" s="989"/>
      <c r="S114" s="986"/>
      <c r="T114" s="988"/>
      <c r="U114" s="988"/>
      <c r="V114" s="988"/>
      <c r="W114" s="988"/>
      <c r="X114" s="988"/>
      <c r="Y114" s="988"/>
      <c r="Z114" s="988"/>
      <c r="AA114" s="988"/>
      <c r="AB114" s="988"/>
      <c r="AC114" s="988"/>
      <c r="AD114" s="988"/>
      <c r="AE114" s="988"/>
      <c r="AF114" s="988"/>
      <c r="AG114" s="989"/>
    </row>
    <row r="115" spans="2:33" s="615" customFormat="1" ht="18">
      <c r="B115" s="638"/>
      <c r="C115" s="1278" t="s">
        <v>791</v>
      </c>
      <c r="D115" s="1278"/>
      <c r="E115" s="696"/>
      <c r="F115" s="696"/>
      <c r="G115" s="696"/>
      <c r="H115" s="696"/>
      <c r="I115" s="696"/>
      <c r="J115" s="696"/>
      <c r="K115" s="696"/>
      <c r="L115" s="696"/>
      <c r="M115" s="696"/>
      <c r="N115" s="696"/>
      <c r="O115" s="696"/>
      <c r="P115" s="636"/>
      <c r="Q115" s="626"/>
      <c r="S115" s="986"/>
      <c r="T115" s="988"/>
      <c r="U115" s="988"/>
      <c r="V115" s="988"/>
      <c r="W115" s="988"/>
      <c r="X115" s="988"/>
      <c r="Y115" s="988"/>
      <c r="Z115" s="988"/>
      <c r="AA115" s="988"/>
      <c r="AB115" s="988"/>
      <c r="AC115" s="988"/>
      <c r="AD115" s="988"/>
      <c r="AE115" s="988"/>
      <c r="AF115" s="988"/>
      <c r="AG115" s="989"/>
    </row>
    <row r="116" spans="2:33" s="615" customFormat="1" ht="18">
      <c r="B116" s="638"/>
      <c r="C116" s="1279" t="s">
        <v>801</v>
      </c>
      <c r="D116" s="1278"/>
      <c r="E116" s="696"/>
      <c r="F116" s="696"/>
      <c r="G116" s="696"/>
      <c r="H116" s="696"/>
      <c r="I116" s="696"/>
      <c r="J116" s="696"/>
      <c r="K116" s="696"/>
      <c r="L116" s="696"/>
      <c r="M116" s="696"/>
      <c r="N116" s="696"/>
      <c r="O116" s="696"/>
      <c r="P116" s="636"/>
      <c r="Q116" s="626"/>
      <c r="S116" s="986"/>
      <c r="T116" s="988"/>
      <c r="U116" s="988"/>
      <c r="V116" s="988"/>
      <c r="W116" s="988"/>
      <c r="X116" s="988"/>
      <c r="Y116" s="988"/>
      <c r="Z116" s="988"/>
      <c r="AA116" s="988"/>
      <c r="AB116" s="988"/>
      <c r="AC116" s="988"/>
      <c r="AD116" s="988"/>
      <c r="AE116" s="988"/>
      <c r="AF116" s="988"/>
      <c r="AG116" s="989"/>
    </row>
    <row r="117" spans="2:33" s="615" customFormat="1" ht="18">
      <c r="B117" s="638"/>
      <c r="C117" s="1278" t="s">
        <v>792</v>
      </c>
      <c r="D117" s="1278"/>
      <c r="E117" s="696"/>
      <c r="F117" s="696"/>
      <c r="G117" s="696"/>
      <c r="H117" s="696"/>
      <c r="I117" s="696"/>
      <c r="J117" s="696"/>
      <c r="K117" s="696"/>
      <c r="L117" s="696"/>
      <c r="M117" s="696"/>
      <c r="N117" s="696"/>
      <c r="O117" s="696"/>
      <c r="P117" s="636"/>
      <c r="Q117" s="626"/>
      <c r="S117" s="986"/>
      <c r="T117" s="988"/>
      <c r="U117" s="988"/>
      <c r="V117" s="988"/>
      <c r="W117" s="988"/>
      <c r="X117" s="988"/>
      <c r="Y117" s="988"/>
      <c r="Z117" s="988"/>
      <c r="AA117" s="988"/>
      <c r="AB117" s="988"/>
      <c r="AC117" s="988"/>
      <c r="AD117" s="988"/>
      <c r="AE117" s="988"/>
      <c r="AF117" s="988"/>
      <c r="AG117" s="989"/>
    </row>
    <row r="118" spans="2:33" s="615" customFormat="1" ht="22.5" customHeight="1" thickBot="1">
      <c r="B118" s="697"/>
      <c r="C118" s="1351"/>
      <c r="D118" s="1351"/>
      <c r="E118" s="1351"/>
      <c r="F118" s="1351"/>
      <c r="G118" s="1351"/>
      <c r="H118" s="1264"/>
      <c r="I118" s="1264"/>
      <c r="J118" s="1264"/>
      <c r="K118" s="1264"/>
      <c r="L118" s="1264"/>
      <c r="M118" s="1264"/>
      <c r="N118" s="1264"/>
      <c r="O118" s="1264"/>
      <c r="P118" s="1265"/>
      <c r="Q118" s="699"/>
      <c r="S118" s="1022"/>
      <c r="T118" s="1023"/>
      <c r="U118" s="1023"/>
      <c r="V118" s="1023"/>
      <c r="W118" s="1023"/>
      <c r="X118" s="1023"/>
      <c r="Y118" s="1023"/>
      <c r="Z118" s="1023"/>
      <c r="AA118" s="1023"/>
      <c r="AB118" s="1023"/>
      <c r="AC118" s="1023"/>
      <c r="AD118" s="1023"/>
      <c r="AE118" s="1023"/>
      <c r="AF118" s="1023"/>
      <c r="AG118" s="1024"/>
    </row>
    <row r="119" spans="3:18" s="615" customFormat="1" ht="22.5" customHeight="1">
      <c r="C119" s="624"/>
      <c r="D119" s="624"/>
      <c r="E119" s="625"/>
      <c r="F119" s="625"/>
      <c r="G119" s="625"/>
      <c r="H119" s="625"/>
      <c r="I119" s="625"/>
      <c r="J119" s="625"/>
      <c r="K119" s="625"/>
      <c r="L119" s="625"/>
      <c r="M119" s="625"/>
      <c r="N119" s="625"/>
      <c r="O119" s="625"/>
      <c r="P119" s="625"/>
      <c r="R119" s="615" t="s">
        <v>936</v>
      </c>
    </row>
    <row r="120" spans="3:16" s="615" customFormat="1" ht="12.75">
      <c r="C120" s="700" t="s">
        <v>70</v>
      </c>
      <c r="D120" s="624"/>
      <c r="E120" s="625"/>
      <c r="F120" s="625"/>
      <c r="G120" s="625"/>
      <c r="H120" s="625"/>
      <c r="I120" s="625"/>
      <c r="J120" s="625"/>
      <c r="K120" s="625"/>
      <c r="L120" s="625"/>
      <c r="M120" s="625"/>
      <c r="N120" s="625"/>
      <c r="O120" s="625"/>
      <c r="P120" s="1025" t="s">
        <v>53</v>
      </c>
    </row>
    <row r="121" spans="3:16" s="615" customFormat="1" ht="12.75">
      <c r="C121" s="702" t="s">
        <v>71</v>
      </c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</row>
    <row r="122" spans="3:16" s="615" customFormat="1" ht="12.75">
      <c r="C122" s="702" t="s">
        <v>72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</row>
    <row r="123" spans="3:16" s="615" customFormat="1" ht="12.75">
      <c r="C123" s="702" t="s">
        <v>73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</row>
    <row r="124" spans="3:16" s="615" customFormat="1" ht="12.75">
      <c r="C124" s="702" t="s">
        <v>74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</row>
    <row r="125" spans="3:16" s="615" customFormat="1" ht="22.5" customHeight="1">
      <c r="C125" s="624"/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</row>
    <row r="126" spans="3:16" s="615" customFormat="1" ht="12.75">
      <c r="C126" s="624"/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</row>
    <row r="127" spans="3:16" s="615" customFormat="1" ht="12.75" hidden="1">
      <c r="C127" s="1286" t="s">
        <v>1009</v>
      </c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</row>
    <row r="128" spans="3:16" s="615" customFormat="1" ht="12.75" hidden="1">
      <c r="C128" s="624" t="s">
        <v>70</v>
      </c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</row>
    <row r="129" spans="3:16" s="615" customFormat="1" ht="12.75" hidden="1">
      <c r="C129" s="615" t="s">
        <v>274</v>
      </c>
      <c r="E129" s="617"/>
      <c r="F129" s="617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</row>
    <row r="130" spans="5:16" s="615" customFormat="1" ht="12.75">
      <c r="E130" s="617"/>
      <c r="F130" s="617"/>
      <c r="G130" s="617"/>
      <c r="H130" s="617"/>
      <c r="I130" s="617"/>
      <c r="J130" s="617"/>
      <c r="K130" s="617"/>
      <c r="L130" s="617"/>
      <c r="M130" s="617"/>
      <c r="N130" s="617"/>
      <c r="O130" s="617"/>
      <c r="P130" s="617"/>
    </row>
  </sheetData>
  <sheetProtection sheet="1" insertRows="0"/>
  <mergeCells count="51">
    <mergeCell ref="C37:D37"/>
    <mergeCell ref="E38:F38"/>
    <mergeCell ref="G16:H16"/>
    <mergeCell ref="G37:H37"/>
    <mergeCell ref="I37:J37"/>
    <mergeCell ref="E37:F37"/>
    <mergeCell ref="J16:K16"/>
    <mergeCell ref="P6:P7"/>
    <mergeCell ref="D9:P9"/>
    <mergeCell ref="C12:D12"/>
    <mergeCell ref="C15:D15"/>
    <mergeCell ref="L15:M15"/>
    <mergeCell ref="L16:M16"/>
    <mergeCell ref="F15:K15"/>
    <mergeCell ref="C17:D17"/>
    <mergeCell ref="C19:E19"/>
    <mergeCell ref="C33:E33"/>
    <mergeCell ref="C16:D16"/>
    <mergeCell ref="C118:G118"/>
    <mergeCell ref="C38:D38"/>
    <mergeCell ref="C62:D62"/>
    <mergeCell ref="G62:H62"/>
    <mergeCell ref="I62:J62"/>
    <mergeCell ref="C63:D63"/>
    <mergeCell ref="E64:F64"/>
    <mergeCell ref="C58:F58"/>
    <mergeCell ref="E63:F63"/>
    <mergeCell ref="E62:F62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C74:F74"/>
    <mergeCell ref="E77:F77"/>
    <mergeCell ref="C77:D77"/>
    <mergeCell ref="C88:F88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</mergeCells>
  <dataValidations count="1">
    <dataValidation type="list" allowBlank="1" showInputMessage="1" showErrorMessage="1" sqref="E39:E57">
      <formula1>$C$128:$C$129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11C1FF"/>
    <pageSetUpPr fitToPage="1"/>
  </sheetPr>
  <dimension ref="A2:AI131"/>
  <sheetViews>
    <sheetView zoomScale="110" zoomScaleNormal="110" zoomScalePageLayoutView="125" workbookViewId="0" topLeftCell="F70">
      <selection activeCell="R83" sqref="R83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26.5546875" style="615" customWidth="1"/>
    <col min="5" max="6" width="13.4453125" style="617" customWidth="1"/>
    <col min="7" max="7" width="19.99609375" style="617" customWidth="1"/>
    <col min="8" max="8" width="13.4453125" style="617" customWidth="1"/>
    <col min="9" max="9" width="11.21484375" style="617" customWidth="1"/>
    <col min="10" max="10" width="15.99609375" style="617" customWidth="1"/>
    <col min="11" max="12" width="15.77734375" style="617" customWidth="1"/>
    <col min="13" max="13" width="16.5546875" style="617" customWidth="1"/>
    <col min="14" max="14" width="16.99609375" style="617" customWidth="1"/>
    <col min="15" max="19" width="15.77734375" style="617" customWidth="1"/>
    <col min="20" max="20" width="3.21484375" style="615" customWidth="1"/>
    <col min="21" max="21" width="10.77734375" style="615" customWidth="1"/>
    <col min="22" max="22" width="11.21484375" style="615" bestFit="1" customWidth="1"/>
    <col min="23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35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3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5"/>
    </row>
    <row r="6" spans="2:35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350">
        <f>ejercicio</f>
        <v>2020</v>
      </c>
      <c r="T6" s="626"/>
      <c r="V6" s="986"/>
      <c r="W6" s="987" t="s">
        <v>677</v>
      </c>
      <c r="X6" s="988"/>
      <c r="Y6" s="988"/>
      <c r="Z6" s="988"/>
      <c r="AA6" s="988"/>
      <c r="AB6" s="988"/>
      <c r="AC6" s="988"/>
      <c r="AD6" s="988"/>
      <c r="AE6" s="988"/>
      <c r="AF6" s="988"/>
      <c r="AG6" s="988"/>
      <c r="AH6" s="988"/>
      <c r="AI6" s="989"/>
    </row>
    <row r="7" spans="2:35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350"/>
      <c r="T7" s="626"/>
      <c r="V7" s="986"/>
      <c r="W7" s="988"/>
      <c r="X7" s="988"/>
      <c r="Y7" s="988"/>
      <c r="Z7" s="988"/>
      <c r="AA7" s="988"/>
      <c r="AB7" s="988"/>
      <c r="AC7" s="988"/>
      <c r="AD7" s="988"/>
      <c r="AE7" s="988"/>
      <c r="AF7" s="988"/>
      <c r="AG7" s="988"/>
      <c r="AH7" s="988"/>
      <c r="AI7" s="989"/>
    </row>
    <row r="8" spans="2:35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6"/>
      <c r="W8" s="988"/>
      <c r="X8" s="988"/>
      <c r="Y8" s="988"/>
      <c r="Z8" s="988"/>
      <c r="AA8" s="988"/>
      <c r="AB8" s="988"/>
      <c r="AC8" s="988"/>
      <c r="AD8" s="988"/>
      <c r="AE8" s="988"/>
      <c r="AF8" s="988"/>
      <c r="AG8" s="988"/>
      <c r="AH8" s="988"/>
      <c r="AI8" s="989"/>
    </row>
    <row r="9" spans="2:35" s="631" customFormat="1" ht="30" customHeight="1">
      <c r="B9" s="629"/>
      <c r="C9" s="630" t="s">
        <v>2</v>
      </c>
      <c r="D9" s="1352" t="str">
        <f>Entidad</f>
        <v>INSTITUTO VOLCANOLOGICO DE CANARIAS SAU</v>
      </c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352"/>
      <c r="Q9" s="1352"/>
      <c r="R9" s="1352"/>
      <c r="S9" s="1352"/>
      <c r="T9" s="627"/>
      <c r="V9" s="986"/>
      <c r="W9" s="988"/>
      <c r="X9" s="988"/>
      <c r="Y9" s="988"/>
      <c r="Z9" s="988"/>
      <c r="AA9" s="988"/>
      <c r="AB9" s="988"/>
      <c r="AC9" s="988"/>
      <c r="AD9" s="988"/>
      <c r="AE9" s="988"/>
      <c r="AF9" s="988"/>
      <c r="AG9" s="988"/>
      <c r="AH9" s="988"/>
      <c r="AI9" s="989"/>
    </row>
    <row r="10" spans="2:35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6"/>
      <c r="W10" s="988"/>
      <c r="X10" s="988"/>
      <c r="Y10" s="988"/>
      <c r="Z10" s="988"/>
      <c r="AA10" s="988"/>
      <c r="AB10" s="988"/>
      <c r="AC10" s="988"/>
      <c r="AD10" s="988"/>
      <c r="AE10" s="988"/>
      <c r="AF10" s="988"/>
      <c r="AG10" s="988"/>
      <c r="AH10" s="988"/>
      <c r="AI10" s="989"/>
    </row>
    <row r="11" spans="2:35" s="635" customFormat="1" ht="30" customHeight="1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90"/>
      <c r="V11" s="986"/>
      <c r="W11" s="988"/>
      <c r="X11" s="988"/>
      <c r="Y11" s="988"/>
      <c r="Z11" s="988"/>
      <c r="AA11" s="988"/>
      <c r="AB11" s="988"/>
      <c r="AC11" s="988"/>
      <c r="AD11" s="988"/>
      <c r="AE11" s="988"/>
      <c r="AF11" s="988"/>
      <c r="AG11" s="988"/>
      <c r="AH11" s="988"/>
      <c r="AI11" s="989"/>
    </row>
    <row r="12" spans="2:35" s="635" customFormat="1" ht="30" customHeight="1">
      <c r="B12" s="632"/>
      <c r="C12" s="1365"/>
      <c r="D12" s="1365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90"/>
      <c r="V12" s="986"/>
      <c r="W12" s="988"/>
      <c r="X12" s="988"/>
      <c r="Y12" s="988"/>
      <c r="Z12" s="988"/>
      <c r="AA12" s="988"/>
      <c r="AB12" s="988"/>
      <c r="AC12" s="988"/>
      <c r="AD12" s="988"/>
      <c r="AE12" s="988"/>
      <c r="AF12" s="988"/>
      <c r="AG12" s="988"/>
      <c r="AH12" s="988"/>
      <c r="AI12" s="989"/>
    </row>
    <row r="13" spans="2:35" ht="28.5" customHeight="1">
      <c r="B13" s="638"/>
      <c r="C13" s="991" t="s">
        <v>818</v>
      </c>
      <c r="D13" s="957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6"/>
      <c r="W13" s="988"/>
      <c r="X13" s="988"/>
      <c r="Y13" s="988"/>
      <c r="Z13" s="988"/>
      <c r="AA13" s="988"/>
      <c r="AB13" s="988"/>
      <c r="AC13" s="988"/>
      <c r="AD13" s="988"/>
      <c r="AE13" s="988"/>
      <c r="AF13" s="988"/>
      <c r="AG13" s="988"/>
      <c r="AH13" s="988"/>
      <c r="AI13" s="989"/>
    </row>
    <row r="14" spans="2:35" ht="9" customHeight="1">
      <c r="B14" s="638"/>
      <c r="C14" s="957"/>
      <c r="D14" s="957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6"/>
      <c r="W14" s="988"/>
      <c r="X14" s="988"/>
      <c r="Y14" s="988"/>
      <c r="Z14" s="988"/>
      <c r="AA14" s="988"/>
      <c r="AB14" s="988"/>
      <c r="AC14" s="988"/>
      <c r="AD14" s="988"/>
      <c r="AE14" s="988"/>
      <c r="AF14" s="988"/>
      <c r="AG14" s="988"/>
      <c r="AH14" s="988"/>
      <c r="AI14" s="989"/>
    </row>
    <row r="15" spans="2:35" ht="22.5" customHeight="1">
      <c r="B15" s="638"/>
      <c r="C15" s="957"/>
      <c r="D15" s="957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6"/>
      <c r="W15" s="988"/>
      <c r="X15" s="988"/>
      <c r="Y15" s="988"/>
      <c r="Z15" s="988"/>
      <c r="AA15" s="988"/>
      <c r="AB15" s="988"/>
      <c r="AC15" s="988"/>
      <c r="AD15" s="988"/>
      <c r="AE15" s="988"/>
      <c r="AF15" s="988"/>
      <c r="AG15" s="988"/>
      <c r="AH15" s="988"/>
      <c r="AI15" s="989"/>
    </row>
    <row r="16" spans="2:35" ht="39" customHeight="1">
      <c r="B16" s="638"/>
      <c r="C16" s="992" t="s">
        <v>464</v>
      </c>
      <c r="D16" s="993" t="s">
        <v>466</v>
      </c>
      <c r="E16" s="992" t="s">
        <v>665</v>
      </c>
      <c r="F16" s="992" t="s">
        <v>665</v>
      </c>
      <c r="G16" s="992" t="s">
        <v>468</v>
      </c>
      <c r="H16" s="992" t="s">
        <v>472</v>
      </c>
      <c r="I16" s="992" t="s">
        <v>474</v>
      </c>
      <c r="J16" s="992" t="s">
        <v>718</v>
      </c>
      <c r="K16" s="992" t="s">
        <v>470</v>
      </c>
      <c r="L16" s="992" t="s">
        <v>667</v>
      </c>
      <c r="M16" s="994" t="s">
        <v>678</v>
      </c>
      <c r="N16" s="992" t="s">
        <v>989</v>
      </c>
      <c r="O16" s="992" t="s">
        <v>990</v>
      </c>
      <c r="P16" s="995" t="s">
        <v>991</v>
      </c>
      <c r="Q16" s="992" t="s">
        <v>667</v>
      </c>
      <c r="R16" s="1467" t="s">
        <v>992</v>
      </c>
      <c r="S16" s="1468"/>
      <c r="T16" s="626"/>
      <c r="V16" s="986"/>
      <c r="W16" s="988"/>
      <c r="X16" s="988"/>
      <c r="Y16" s="988"/>
      <c r="Z16" s="988"/>
      <c r="AA16" s="988"/>
      <c r="AB16" s="988"/>
      <c r="AC16" s="988"/>
      <c r="AD16" s="988"/>
      <c r="AE16" s="988"/>
      <c r="AF16" s="988"/>
      <c r="AG16" s="988"/>
      <c r="AH16" s="988"/>
      <c r="AI16" s="989"/>
    </row>
    <row r="17" spans="2:35" ht="22.5" customHeight="1">
      <c r="B17" s="638"/>
      <c r="C17" s="996" t="s">
        <v>465</v>
      </c>
      <c r="D17" s="997" t="s">
        <v>465</v>
      </c>
      <c r="E17" s="996" t="s">
        <v>467</v>
      </c>
      <c r="F17" s="996" t="s">
        <v>666</v>
      </c>
      <c r="G17" s="996" t="s">
        <v>469</v>
      </c>
      <c r="H17" s="996" t="s">
        <v>473</v>
      </c>
      <c r="I17" s="996" t="s">
        <v>703</v>
      </c>
      <c r="J17" s="996" t="s">
        <v>746</v>
      </c>
      <c r="K17" s="996" t="s">
        <v>988</v>
      </c>
      <c r="L17" s="996">
        <f>ejercicio-1</f>
        <v>2019</v>
      </c>
      <c r="M17" s="996">
        <f>ejercicio</f>
        <v>2020</v>
      </c>
      <c r="N17" s="996">
        <f>ejercicio</f>
        <v>2020</v>
      </c>
      <c r="O17" s="996">
        <f>ejercicio</f>
        <v>2020</v>
      </c>
      <c r="P17" s="996">
        <f>ejercicio</f>
        <v>2020</v>
      </c>
      <c r="Q17" s="996">
        <f>ejercicio</f>
        <v>2020</v>
      </c>
      <c r="R17" s="998" t="s">
        <v>668</v>
      </c>
      <c r="S17" s="999" t="s">
        <v>669</v>
      </c>
      <c r="T17" s="626"/>
      <c r="V17" s="986"/>
      <c r="W17" s="988"/>
      <c r="X17" s="988"/>
      <c r="Y17" s="988"/>
      <c r="Z17" s="988"/>
      <c r="AA17" s="988"/>
      <c r="AB17" s="988"/>
      <c r="AC17" s="988"/>
      <c r="AD17" s="988"/>
      <c r="AE17" s="988"/>
      <c r="AF17" s="988"/>
      <c r="AG17" s="988"/>
      <c r="AH17" s="988"/>
      <c r="AI17" s="989"/>
    </row>
    <row r="18" spans="2:35" ht="22.5" customHeight="1">
      <c r="B18" s="638"/>
      <c r="C18" s="520"/>
      <c r="D18" s="954"/>
      <c r="E18" s="953"/>
      <c r="F18" s="953"/>
      <c r="G18" s="1229"/>
      <c r="H18" s="1230"/>
      <c r="I18" s="1230"/>
      <c r="J18" s="789"/>
      <c r="K18" s="586"/>
      <c r="L18" s="586"/>
      <c r="M18" s="790"/>
      <c r="N18" s="790"/>
      <c r="O18" s="790"/>
      <c r="P18" s="719"/>
      <c r="Q18" s="1000">
        <f>L18+M18-N18</f>
        <v>0</v>
      </c>
      <c r="R18" s="849"/>
      <c r="S18" s="850"/>
      <c r="T18" s="626"/>
      <c r="V18" s="986"/>
      <c r="W18" s="988"/>
      <c r="X18" s="988"/>
      <c r="Y18" s="988"/>
      <c r="Z18" s="988"/>
      <c r="AA18" s="988"/>
      <c r="AB18" s="988"/>
      <c r="AC18" s="988"/>
      <c r="AD18" s="988"/>
      <c r="AE18" s="988"/>
      <c r="AF18" s="988"/>
      <c r="AG18" s="988"/>
      <c r="AH18" s="988"/>
      <c r="AI18" s="989"/>
    </row>
    <row r="19" spans="2:35" ht="22.5" customHeight="1">
      <c r="B19" s="638"/>
      <c r="C19" s="520"/>
      <c r="D19" s="954"/>
      <c r="E19" s="1231"/>
      <c r="F19" s="953"/>
      <c r="G19" s="1229"/>
      <c r="H19" s="1230"/>
      <c r="I19" s="1230"/>
      <c r="J19" s="1230"/>
      <c r="K19" s="586"/>
      <c r="L19" s="586"/>
      <c r="M19" s="1026"/>
      <c r="N19" s="586"/>
      <c r="O19" s="586"/>
      <c r="P19" s="719"/>
      <c r="Q19" s="1000">
        <f aca="true" t="shared" si="0" ref="Q19:Q42">L19+M19-N19</f>
        <v>0</v>
      </c>
      <c r="R19" s="851"/>
      <c r="S19" s="852"/>
      <c r="T19" s="626"/>
      <c r="V19" s="986"/>
      <c r="W19" s="988"/>
      <c r="X19" s="988"/>
      <c r="Y19" s="988"/>
      <c r="Z19" s="988"/>
      <c r="AA19" s="988"/>
      <c r="AB19" s="988"/>
      <c r="AC19" s="988"/>
      <c r="AD19" s="988"/>
      <c r="AE19" s="988"/>
      <c r="AF19" s="988"/>
      <c r="AG19" s="988"/>
      <c r="AH19" s="988"/>
      <c r="AI19" s="989"/>
    </row>
    <row r="20" spans="2:35" ht="22.5" customHeight="1">
      <c r="B20" s="638"/>
      <c r="C20" s="520"/>
      <c r="D20" s="954"/>
      <c r="E20" s="953"/>
      <c r="F20" s="953"/>
      <c r="G20" s="1229"/>
      <c r="H20" s="1230"/>
      <c r="I20" s="1230"/>
      <c r="J20" s="1230"/>
      <c r="K20" s="586"/>
      <c r="L20" s="586"/>
      <c r="M20" s="586"/>
      <c r="N20" s="586"/>
      <c r="O20" s="586"/>
      <c r="P20" s="719"/>
      <c r="Q20" s="1000">
        <f t="shared" si="0"/>
        <v>0</v>
      </c>
      <c r="R20" s="851"/>
      <c r="S20" s="852"/>
      <c r="T20" s="626"/>
      <c r="V20" s="986"/>
      <c r="W20" s="988"/>
      <c r="X20" s="988"/>
      <c r="Y20" s="988"/>
      <c r="Z20" s="988"/>
      <c r="AA20" s="988"/>
      <c r="AB20" s="988"/>
      <c r="AC20" s="988"/>
      <c r="AD20" s="988"/>
      <c r="AE20" s="988"/>
      <c r="AF20" s="988"/>
      <c r="AG20" s="988"/>
      <c r="AH20" s="988"/>
      <c r="AI20" s="989"/>
    </row>
    <row r="21" spans="2:35" ht="22.5" customHeight="1">
      <c r="B21" s="638"/>
      <c r="C21" s="520"/>
      <c r="D21" s="954"/>
      <c r="E21" s="953"/>
      <c r="F21" s="953"/>
      <c r="G21" s="1229"/>
      <c r="H21" s="1230"/>
      <c r="I21" s="1230"/>
      <c r="J21" s="1230"/>
      <c r="K21" s="586"/>
      <c r="L21" s="586"/>
      <c r="M21" s="586"/>
      <c r="N21" s="586"/>
      <c r="O21" s="586"/>
      <c r="P21" s="719"/>
      <c r="Q21" s="1000">
        <f t="shared" si="0"/>
        <v>0</v>
      </c>
      <c r="R21" s="851"/>
      <c r="S21" s="852"/>
      <c r="T21" s="626"/>
      <c r="V21" s="986"/>
      <c r="W21" s="988"/>
      <c r="X21" s="988"/>
      <c r="Y21" s="988"/>
      <c r="Z21" s="988"/>
      <c r="AA21" s="988"/>
      <c r="AB21" s="988"/>
      <c r="AC21" s="988"/>
      <c r="AD21" s="988"/>
      <c r="AE21" s="988"/>
      <c r="AF21" s="988"/>
      <c r="AG21" s="988"/>
      <c r="AH21" s="988"/>
      <c r="AI21" s="989"/>
    </row>
    <row r="22" spans="2:35" ht="22.5" customHeight="1">
      <c r="B22" s="638"/>
      <c r="C22" s="520"/>
      <c r="D22" s="517"/>
      <c r="E22" s="953"/>
      <c r="F22" s="953"/>
      <c r="G22" s="520"/>
      <c r="H22" s="578"/>
      <c r="I22" s="578"/>
      <c r="J22" s="578"/>
      <c r="K22" s="586"/>
      <c r="L22" s="586"/>
      <c r="M22" s="586"/>
      <c r="N22" s="586"/>
      <c r="O22" s="586"/>
      <c r="P22" s="719"/>
      <c r="Q22" s="1000">
        <f t="shared" si="0"/>
        <v>0</v>
      </c>
      <c r="R22" s="851"/>
      <c r="S22" s="852"/>
      <c r="T22" s="626"/>
      <c r="V22" s="986"/>
      <c r="W22" s="988"/>
      <c r="X22" s="988"/>
      <c r="Y22" s="988"/>
      <c r="Z22" s="988"/>
      <c r="AA22" s="988"/>
      <c r="AB22" s="988"/>
      <c r="AC22" s="988"/>
      <c r="AD22" s="988"/>
      <c r="AE22" s="988"/>
      <c r="AF22" s="988"/>
      <c r="AG22" s="988"/>
      <c r="AH22" s="988"/>
      <c r="AI22" s="989"/>
    </row>
    <row r="23" spans="2:35" ht="22.5" customHeight="1">
      <c r="B23" s="638"/>
      <c r="C23" s="520"/>
      <c r="D23" s="517"/>
      <c r="E23" s="953"/>
      <c r="F23" s="953"/>
      <c r="G23" s="520"/>
      <c r="H23" s="578"/>
      <c r="I23" s="578"/>
      <c r="J23" s="578"/>
      <c r="K23" s="586"/>
      <c r="L23" s="586"/>
      <c r="M23" s="586"/>
      <c r="N23" s="586"/>
      <c r="O23" s="586"/>
      <c r="P23" s="719"/>
      <c r="Q23" s="1000">
        <f t="shared" si="0"/>
        <v>0</v>
      </c>
      <c r="R23" s="851"/>
      <c r="S23" s="852"/>
      <c r="T23" s="626"/>
      <c r="V23" s="986"/>
      <c r="W23" s="988"/>
      <c r="X23" s="988"/>
      <c r="Y23" s="988"/>
      <c r="Z23" s="988"/>
      <c r="AA23" s="988"/>
      <c r="AB23" s="988"/>
      <c r="AC23" s="988"/>
      <c r="AD23" s="988"/>
      <c r="AE23" s="988"/>
      <c r="AF23" s="988"/>
      <c r="AG23" s="988"/>
      <c r="AH23" s="988"/>
      <c r="AI23" s="989"/>
    </row>
    <row r="24" spans="2:35" ht="22.5" customHeight="1">
      <c r="B24" s="638"/>
      <c r="C24" s="520"/>
      <c r="D24" s="517"/>
      <c r="E24" s="953"/>
      <c r="F24" s="953"/>
      <c r="G24" s="520"/>
      <c r="H24" s="578"/>
      <c r="I24" s="578"/>
      <c r="J24" s="578"/>
      <c r="K24" s="586"/>
      <c r="L24" s="586"/>
      <c r="M24" s="586"/>
      <c r="N24" s="586"/>
      <c r="O24" s="586"/>
      <c r="P24" s="719"/>
      <c r="Q24" s="1000">
        <f t="shared" si="0"/>
        <v>0</v>
      </c>
      <c r="R24" s="851"/>
      <c r="S24" s="852"/>
      <c r="T24" s="626"/>
      <c r="V24" s="986"/>
      <c r="W24" s="988"/>
      <c r="X24" s="988"/>
      <c r="Y24" s="988"/>
      <c r="Z24" s="988"/>
      <c r="AA24" s="988"/>
      <c r="AB24" s="988"/>
      <c r="AC24" s="988"/>
      <c r="AD24" s="988"/>
      <c r="AE24" s="988"/>
      <c r="AF24" s="988"/>
      <c r="AG24" s="988"/>
      <c r="AH24" s="988"/>
      <c r="AI24" s="989"/>
    </row>
    <row r="25" spans="2:35" ht="22.5" customHeight="1">
      <c r="B25" s="638"/>
      <c r="C25" s="520"/>
      <c r="D25" s="517"/>
      <c r="E25" s="953"/>
      <c r="F25" s="953"/>
      <c r="G25" s="520"/>
      <c r="H25" s="578"/>
      <c r="I25" s="578"/>
      <c r="J25" s="578"/>
      <c r="K25" s="586"/>
      <c r="L25" s="586"/>
      <c r="M25" s="586"/>
      <c r="N25" s="586"/>
      <c r="O25" s="586"/>
      <c r="P25" s="719"/>
      <c r="Q25" s="1000">
        <f t="shared" si="0"/>
        <v>0</v>
      </c>
      <c r="R25" s="851"/>
      <c r="S25" s="852"/>
      <c r="T25" s="626"/>
      <c r="V25" s="986"/>
      <c r="W25" s="988"/>
      <c r="X25" s="988"/>
      <c r="Y25" s="988"/>
      <c r="Z25" s="988"/>
      <c r="AA25" s="988"/>
      <c r="AB25" s="988"/>
      <c r="AC25" s="988"/>
      <c r="AD25" s="988"/>
      <c r="AE25" s="988"/>
      <c r="AF25" s="988"/>
      <c r="AG25" s="988"/>
      <c r="AH25" s="988"/>
      <c r="AI25" s="989"/>
    </row>
    <row r="26" spans="2:35" ht="22.5" customHeight="1">
      <c r="B26" s="638"/>
      <c r="C26" s="520"/>
      <c r="D26" s="517"/>
      <c r="E26" s="953"/>
      <c r="F26" s="953"/>
      <c r="G26" s="520"/>
      <c r="H26" s="578"/>
      <c r="I26" s="578"/>
      <c r="J26" s="578"/>
      <c r="K26" s="586"/>
      <c r="L26" s="586"/>
      <c r="M26" s="586"/>
      <c r="N26" s="586"/>
      <c r="O26" s="586"/>
      <c r="P26" s="719"/>
      <c r="Q26" s="1000">
        <f t="shared" si="0"/>
        <v>0</v>
      </c>
      <c r="R26" s="851"/>
      <c r="S26" s="852"/>
      <c r="T26" s="626"/>
      <c r="V26" s="986"/>
      <c r="W26" s="988"/>
      <c r="X26" s="988"/>
      <c r="Y26" s="988"/>
      <c r="Z26" s="988"/>
      <c r="AA26" s="988"/>
      <c r="AB26" s="988"/>
      <c r="AC26" s="988"/>
      <c r="AD26" s="988"/>
      <c r="AE26" s="988"/>
      <c r="AF26" s="988"/>
      <c r="AG26" s="988"/>
      <c r="AH26" s="988"/>
      <c r="AI26" s="989"/>
    </row>
    <row r="27" spans="2:35" ht="22.5" customHeight="1">
      <c r="B27" s="638"/>
      <c r="C27" s="520"/>
      <c r="D27" s="517"/>
      <c r="E27" s="953"/>
      <c r="F27" s="953"/>
      <c r="G27" s="520"/>
      <c r="H27" s="578"/>
      <c r="I27" s="578"/>
      <c r="J27" s="578"/>
      <c r="K27" s="586"/>
      <c r="L27" s="586"/>
      <c r="M27" s="586"/>
      <c r="N27" s="586"/>
      <c r="O27" s="586"/>
      <c r="P27" s="719"/>
      <c r="Q27" s="1000">
        <f t="shared" si="0"/>
        <v>0</v>
      </c>
      <c r="R27" s="851"/>
      <c r="S27" s="852"/>
      <c r="T27" s="626"/>
      <c r="V27" s="986"/>
      <c r="W27" s="988"/>
      <c r="X27" s="988"/>
      <c r="Y27" s="988"/>
      <c r="Z27" s="988"/>
      <c r="AA27" s="988"/>
      <c r="AB27" s="988"/>
      <c r="AC27" s="988"/>
      <c r="AD27" s="988"/>
      <c r="AE27" s="988"/>
      <c r="AF27" s="988"/>
      <c r="AG27" s="988"/>
      <c r="AH27" s="988"/>
      <c r="AI27" s="989"/>
    </row>
    <row r="28" spans="2:35" ht="22.5" customHeight="1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9"/>
      <c r="Q28" s="1000">
        <f t="shared" si="0"/>
        <v>0</v>
      </c>
      <c r="R28" s="851"/>
      <c r="S28" s="852"/>
      <c r="T28" s="626"/>
      <c r="V28" s="986"/>
      <c r="W28" s="988"/>
      <c r="X28" s="988"/>
      <c r="Y28" s="988"/>
      <c r="Z28" s="988"/>
      <c r="AA28" s="988"/>
      <c r="AB28" s="988"/>
      <c r="AC28" s="988"/>
      <c r="AD28" s="988"/>
      <c r="AE28" s="988"/>
      <c r="AF28" s="988"/>
      <c r="AG28" s="988"/>
      <c r="AH28" s="988"/>
      <c r="AI28" s="989"/>
    </row>
    <row r="29" spans="2:35" ht="22.5" customHeight="1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9"/>
      <c r="Q29" s="1000">
        <f t="shared" si="0"/>
        <v>0</v>
      </c>
      <c r="R29" s="851"/>
      <c r="S29" s="852"/>
      <c r="T29" s="626"/>
      <c r="V29" s="986"/>
      <c r="W29" s="988"/>
      <c r="X29" s="988"/>
      <c r="Y29" s="988"/>
      <c r="Z29" s="988"/>
      <c r="AA29" s="988"/>
      <c r="AB29" s="988"/>
      <c r="AC29" s="988"/>
      <c r="AD29" s="988"/>
      <c r="AE29" s="988"/>
      <c r="AF29" s="988"/>
      <c r="AG29" s="988"/>
      <c r="AH29" s="988"/>
      <c r="AI29" s="989"/>
    </row>
    <row r="30" spans="2:35" ht="22.5" customHeight="1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9"/>
      <c r="Q30" s="1000">
        <f t="shared" si="0"/>
        <v>0</v>
      </c>
      <c r="R30" s="851"/>
      <c r="S30" s="852"/>
      <c r="T30" s="626"/>
      <c r="V30" s="986"/>
      <c r="W30" s="988"/>
      <c r="X30" s="988"/>
      <c r="Y30" s="988"/>
      <c r="Z30" s="988"/>
      <c r="AA30" s="988"/>
      <c r="AB30" s="988"/>
      <c r="AC30" s="988"/>
      <c r="AD30" s="988"/>
      <c r="AE30" s="988"/>
      <c r="AF30" s="988"/>
      <c r="AG30" s="988"/>
      <c r="AH30" s="988"/>
      <c r="AI30" s="989"/>
    </row>
    <row r="31" spans="2:35" ht="22.5" customHeight="1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9"/>
      <c r="Q31" s="1000">
        <f t="shared" si="0"/>
        <v>0</v>
      </c>
      <c r="R31" s="851"/>
      <c r="S31" s="852"/>
      <c r="T31" s="626"/>
      <c r="V31" s="986"/>
      <c r="W31" s="988"/>
      <c r="X31" s="988"/>
      <c r="Y31" s="988"/>
      <c r="Z31" s="988"/>
      <c r="AA31" s="988"/>
      <c r="AB31" s="988"/>
      <c r="AC31" s="988"/>
      <c r="AD31" s="988"/>
      <c r="AE31" s="988"/>
      <c r="AF31" s="988"/>
      <c r="AG31" s="988"/>
      <c r="AH31" s="988"/>
      <c r="AI31" s="989"/>
    </row>
    <row r="32" spans="2:35" ht="22.5" customHeight="1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9"/>
      <c r="Q32" s="1000">
        <f t="shared" si="0"/>
        <v>0</v>
      </c>
      <c r="R32" s="851"/>
      <c r="S32" s="852"/>
      <c r="T32" s="626"/>
      <c r="V32" s="986"/>
      <c r="W32" s="988"/>
      <c r="X32" s="988"/>
      <c r="Y32" s="988"/>
      <c r="Z32" s="988"/>
      <c r="AA32" s="988"/>
      <c r="AB32" s="988"/>
      <c r="AC32" s="988"/>
      <c r="AD32" s="988"/>
      <c r="AE32" s="988"/>
      <c r="AF32" s="988"/>
      <c r="AG32" s="988"/>
      <c r="AH32" s="988"/>
      <c r="AI32" s="989"/>
    </row>
    <row r="33" spans="2:35" ht="22.5" customHeight="1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9"/>
      <c r="Q33" s="1000">
        <f>L33+M33-N33</f>
        <v>0</v>
      </c>
      <c r="R33" s="851"/>
      <c r="S33" s="852"/>
      <c r="T33" s="626"/>
      <c r="V33" s="986"/>
      <c r="W33" s="988"/>
      <c r="X33" s="988"/>
      <c r="Y33" s="988"/>
      <c r="Z33" s="988"/>
      <c r="AA33" s="988"/>
      <c r="AB33" s="988"/>
      <c r="AC33" s="988"/>
      <c r="AD33" s="988"/>
      <c r="AE33" s="988"/>
      <c r="AF33" s="988"/>
      <c r="AG33" s="988"/>
      <c r="AH33" s="988"/>
      <c r="AI33" s="989"/>
    </row>
    <row r="34" spans="2:35" ht="22.5" customHeight="1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9"/>
      <c r="Q34" s="1000">
        <f t="shared" si="0"/>
        <v>0</v>
      </c>
      <c r="R34" s="851"/>
      <c r="S34" s="852"/>
      <c r="T34" s="626"/>
      <c r="V34" s="986"/>
      <c r="W34" s="988"/>
      <c r="X34" s="988"/>
      <c r="Y34" s="988"/>
      <c r="Z34" s="988"/>
      <c r="AA34" s="988"/>
      <c r="AB34" s="988"/>
      <c r="AC34" s="988"/>
      <c r="AD34" s="988"/>
      <c r="AE34" s="988"/>
      <c r="AF34" s="988"/>
      <c r="AG34" s="988"/>
      <c r="AH34" s="988"/>
      <c r="AI34" s="989"/>
    </row>
    <row r="35" spans="2:35" ht="22.5" customHeight="1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9"/>
      <c r="Q35" s="1000">
        <f t="shared" si="0"/>
        <v>0</v>
      </c>
      <c r="R35" s="851"/>
      <c r="S35" s="852"/>
      <c r="T35" s="626"/>
      <c r="V35" s="986"/>
      <c r="W35" s="988"/>
      <c r="X35" s="988"/>
      <c r="Y35" s="988"/>
      <c r="Z35" s="988"/>
      <c r="AA35" s="988"/>
      <c r="AB35" s="988"/>
      <c r="AC35" s="988"/>
      <c r="AD35" s="988"/>
      <c r="AE35" s="988"/>
      <c r="AF35" s="988"/>
      <c r="AG35" s="988"/>
      <c r="AH35" s="988"/>
      <c r="AI35" s="989"/>
    </row>
    <row r="36" spans="2:35" ht="22.5" customHeight="1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9"/>
      <c r="Q36" s="1000">
        <f t="shared" si="0"/>
        <v>0</v>
      </c>
      <c r="R36" s="851"/>
      <c r="S36" s="852"/>
      <c r="T36" s="626"/>
      <c r="V36" s="986"/>
      <c r="W36" s="988"/>
      <c r="X36" s="988"/>
      <c r="Y36" s="988"/>
      <c r="Z36" s="988"/>
      <c r="AA36" s="988"/>
      <c r="AB36" s="988"/>
      <c r="AC36" s="988"/>
      <c r="AD36" s="988"/>
      <c r="AE36" s="988"/>
      <c r="AF36" s="988"/>
      <c r="AG36" s="988"/>
      <c r="AH36" s="988"/>
      <c r="AI36" s="989"/>
    </row>
    <row r="37" spans="2:35" ht="22.5" customHeight="1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9"/>
      <c r="Q37" s="1000">
        <f t="shared" si="0"/>
        <v>0</v>
      </c>
      <c r="R37" s="851"/>
      <c r="S37" s="852"/>
      <c r="T37" s="626"/>
      <c r="V37" s="986"/>
      <c r="W37" s="988"/>
      <c r="X37" s="988"/>
      <c r="Y37" s="988"/>
      <c r="Z37" s="988"/>
      <c r="AA37" s="988"/>
      <c r="AB37" s="988"/>
      <c r="AC37" s="988"/>
      <c r="AD37" s="988"/>
      <c r="AE37" s="988"/>
      <c r="AF37" s="988"/>
      <c r="AG37" s="988"/>
      <c r="AH37" s="988"/>
      <c r="AI37" s="989"/>
    </row>
    <row r="38" spans="2:35" ht="22.5" customHeight="1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9"/>
      <c r="Q38" s="1000">
        <f t="shared" si="0"/>
        <v>0</v>
      </c>
      <c r="R38" s="851"/>
      <c r="S38" s="852"/>
      <c r="T38" s="626"/>
      <c r="V38" s="986"/>
      <c r="W38" s="988"/>
      <c r="X38" s="988"/>
      <c r="Y38" s="988"/>
      <c r="Z38" s="988"/>
      <c r="AA38" s="988"/>
      <c r="AB38" s="988"/>
      <c r="AC38" s="988"/>
      <c r="AD38" s="988"/>
      <c r="AE38" s="988"/>
      <c r="AF38" s="988"/>
      <c r="AG38" s="988"/>
      <c r="AH38" s="988"/>
      <c r="AI38" s="989"/>
    </row>
    <row r="39" spans="2:35" ht="22.5" customHeight="1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9"/>
      <c r="Q39" s="1000">
        <f t="shared" si="0"/>
        <v>0</v>
      </c>
      <c r="R39" s="851"/>
      <c r="S39" s="852"/>
      <c r="T39" s="626"/>
      <c r="V39" s="986"/>
      <c r="W39" s="988"/>
      <c r="X39" s="988"/>
      <c r="Y39" s="988"/>
      <c r="Z39" s="988"/>
      <c r="AA39" s="988"/>
      <c r="AB39" s="988"/>
      <c r="AC39" s="988"/>
      <c r="AD39" s="988"/>
      <c r="AE39" s="988"/>
      <c r="AF39" s="988"/>
      <c r="AG39" s="988"/>
      <c r="AH39" s="988"/>
      <c r="AI39" s="989"/>
    </row>
    <row r="40" spans="2:35" ht="22.5" customHeight="1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9"/>
      <c r="Q40" s="1000">
        <f t="shared" si="0"/>
        <v>0</v>
      </c>
      <c r="R40" s="851"/>
      <c r="S40" s="852"/>
      <c r="T40" s="626"/>
      <c r="V40" s="986"/>
      <c r="W40" s="988"/>
      <c r="X40" s="988"/>
      <c r="Y40" s="988"/>
      <c r="Z40" s="988"/>
      <c r="AA40" s="988"/>
      <c r="AB40" s="988"/>
      <c r="AC40" s="988"/>
      <c r="AD40" s="988"/>
      <c r="AE40" s="988"/>
      <c r="AF40" s="988"/>
      <c r="AG40" s="988"/>
      <c r="AH40" s="988"/>
      <c r="AI40" s="989"/>
    </row>
    <row r="41" spans="2:35" ht="22.5" customHeight="1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20"/>
      <c r="Q41" s="1001">
        <f>L41+M41-N41</f>
        <v>0</v>
      </c>
      <c r="R41" s="851"/>
      <c r="S41" s="852"/>
      <c r="T41" s="626"/>
      <c r="V41" s="986"/>
      <c r="W41" s="988"/>
      <c r="X41" s="988"/>
      <c r="Y41" s="988"/>
      <c r="Z41" s="988"/>
      <c r="AA41" s="988"/>
      <c r="AB41" s="988"/>
      <c r="AC41" s="988"/>
      <c r="AD41" s="988"/>
      <c r="AE41" s="988"/>
      <c r="AF41" s="988"/>
      <c r="AG41" s="988"/>
      <c r="AH41" s="988"/>
      <c r="AI41" s="989"/>
    </row>
    <row r="42" spans="2:35" ht="22.5" customHeight="1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1"/>
      <c r="Q42" s="1002">
        <f t="shared" si="0"/>
        <v>0</v>
      </c>
      <c r="R42" s="853"/>
      <c r="S42" s="854"/>
      <c r="T42" s="626"/>
      <c r="V42" s="986"/>
      <c r="W42" s="988"/>
      <c r="X42" s="988"/>
      <c r="Y42" s="988"/>
      <c r="Z42" s="988"/>
      <c r="AA42" s="988"/>
      <c r="AB42" s="988"/>
      <c r="AC42" s="988"/>
      <c r="AD42" s="988"/>
      <c r="AE42" s="988"/>
      <c r="AF42" s="988"/>
      <c r="AG42" s="988"/>
      <c r="AH42" s="988"/>
      <c r="AI42" s="989"/>
    </row>
    <row r="43" spans="2:35" ht="22.5" customHeight="1" thickBot="1">
      <c r="B43" s="638"/>
      <c r="C43" s="616"/>
      <c r="D43" s="616"/>
      <c r="E43" s="980"/>
      <c r="F43" s="980"/>
      <c r="G43" s="980"/>
      <c r="H43" s="1469" t="s">
        <v>471</v>
      </c>
      <c r="I43" s="1470"/>
      <c r="J43" s="1471"/>
      <c r="K43" s="1003">
        <f aca="true" t="shared" si="1" ref="K43:S43">SUM(K18:K42)</f>
        <v>0</v>
      </c>
      <c r="L43" s="1004">
        <f t="shared" si="1"/>
        <v>0</v>
      </c>
      <c r="M43" s="1005">
        <f t="shared" si="1"/>
        <v>0</v>
      </c>
      <c r="N43" s="1005">
        <f t="shared" si="1"/>
        <v>0</v>
      </c>
      <c r="O43" s="1003">
        <f t="shared" si="1"/>
        <v>0</v>
      </c>
      <c r="P43" s="1003">
        <f t="shared" si="1"/>
        <v>0</v>
      </c>
      <c r="Q43" s="1006">
        <f t="shared" si="1"/>
        <v>0</v>
      </c>
      <c r="R43" s="1005">
        <f t="shared" si="1"/>
        <v>0</v>
      </c>
      <c r="S43" s="674">
        <f t="shared" si="1"/>
        <v>0</v>
      </c>
      <c r="T43" s="626"/>
      <c r="V43" s="1007"/>
      <c r="W43" s="988"/>
      <c r="X43" s="988"/>
      <c r="Y43" s="988"/>
      <c r="Z43" s="988"/>
      <c r="AA43" s="988"/>
      <c r="AB43" s="988"/>
      <c r="AC43" s="988"/>
      <c r="AD43" s="988"/>
      <c r="AE43" s="988"/>
      <c r="AF43" s="988"/>
      <c r="AG43" s="988"/>
      <c r="AH43" s="988"/>
      <c r="AI43" s="989"/>
    </row>
    <row r="44" spans="2:35" ht="22.5" customHeight="1">
      <c r="B44" s="638"/>
      <c r="C44" s="616"/>
      <c r="D44" s="616"/>
      <c r="E44" s="980"/>
      <c r="F44" s="980"/>
      <c r="G44" s="980"/>
      <c r="H44" s="1008"/>
      <c r="I44" s="1008"/>
      <c r="J44" s="1008"/>
      <c r="K44" s="980"/>
      <c r="L44" s="980"/>
      <c r="M44" s="980"/>
      <c r="N44" s="980"/>
      <c r="O44" s="980"/>
      <c r="P44" s="980"/>
      <c r="Q44" s="980"/>
      <c r="R44" s="980"/>
      <c r="S44" s="980"/>
      <c r="T44" s="626"/>
      <c r="V44" s="1007"/>
      <c r="W44" s="988"/>
      <c r="X44" s="988"/>
      <c r="Y44" s="988"/>
      <c r="Z44" s="988"/>
      <c r="AA44" s="988"/>
      <c r="AB44" s="988"/>
      <c r="AC44" s="988"/>
      <c r="AD44" s="988"/>
      <c r="AE44" s="988"/>
      <c r="AF44" s="988"/>
      <c r="AG44" s="988"/>
      <c r="AH44" s="988"/>
      <c r="AI44" s="989"/>
    </row>
    <row r="45" spans="2:35" ht="22.5" customHeight="1">
      <c r="B45" s="638"/>
      <c r="C45" s="991" t="s">
        <v>819</v>
      </c>
      <c r="D45" s="957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6"/>
      <c r="W45" s="988"/>
      <c r="X45" s="988"/>
      <c r="Y45" s="988"/>
      <c r="Z45" s="988"/>
      <c r="AA45" s="988"/>
      <c r="AB45" s="988"/>
      <c r="AC45" s="988"/>
      <c r="AD45" s="988"/>
      <c r="AE45" s="988"/>
      <c r="AF45" s="988"/>
      <c r="AG45" s="988"/>
      <c r="AH45" s="988"/>
      <c r="AI45" s="989"/>
    </row>
    <row r="46" spans="2:35" ht="22.5" customHeight="1">
      <c r="B46" s="638"/>
      <c r="C46" s="957"/>
      <c r="D46" s="957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6"/>
      <c r="W46" s="988"/>
      <c r="X46" s="988"/>
      <c r="Y46" s="988"/>
      <c r="Z46" s="988"/>
      <c r="AA46" s="988"/>
      <c r="AB46" s="988"/>
      <c r="AC46" s="988"/>
      <c r="AD46" s="988"/>
      <c r="AE46" s="988"/>
      <c r="AF46" s="988"/>
      <c r="AG46" s="988"/>
      <c r="AH46" s="988"/>
      <c r="AI46" s="989"/>
    </row>
    <row r="47" spans="2:35" ht="22.5" customHeight="1">
      <c r="B47" s="638"/>
      <c r="C47" s="957"/>
      <c r="D47" s="957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6"/>
      <c r="W47" s="988"/>
      <c r="X47" s="988"/>
      <c r="Y47" s="988"/>
      <c r="Z47" s="988"/>
      <c r="AA47" s="988"/>
      <c r="AB47" s="988"/>
      <c r="AC47" s="988"/>
      <c r="AD47" s="988"/>
      <c r="AE47" s="988"/>
      <c r="AF47" s="988"/>
      <c r="AG47" s="988"/>
      <c r="AH47" s="988"/>
      <c r="AI47" s="989"/>
    </row>
    <row r="48" spans="2:35" ht="42" customHeight="1">
      <c r="B48" s="638"/>
      <c r="C48" s="992" t="s">
        <v>464</v>
      </c>
      <c r="D48" s="993" t="s">
        <v>466</v>
      </c>
      <c r="E48" s="992" t="s">
        <v>665</v>
      </c>
      <c r="F48" s="992" t="s">
        <v>665</v>
      </c>
      <c r="G48" s="992" t="s">
        <v>468</v>
      </c>
      <c r="H48" s="992" t="s">
        <v>472</v>
      </c>
      <c r="I48" s="992" t="s">
        <v>474</v>
      </c>
      <c r="J48" s="992" t="s">
        <v>718</v>
      </c>
      <c r="K48" s="992" t="s">
        <v>470</v>
      </c>
      <c r="L48" s="992" t="s">
        <v>667</v>
      </c>
      <c r="M48" s="994" t="s">
        <v>678</v>
      </c>
      <c r="N48" s="992" t="s">
        <v>989</v>
      </c>
      <c r="O48" s="992" t="s">
        <v>990</v>
      </c>
      <c r="P48" s="995" t="s">
        <v>991</v>
      </c>
      <c r="Q48" s="992" t="s">
        <v>667</v>
      </c>
      <c r="R48" s="1467" t="s">
        <v>992</v>
      </c>
      <c r="S48" s="1468"/>
      <c r="T48" s="626"/>
      <c r="V48" s="986"/>
      <c r="W48" s="988"/>
      <c r="X48" s="988"/>
      <c r="Y48" s="988"/>
      <c r="Z48" s="988"/>
      <c r="AA48" s="988"/>
      <c r="AB48" s="988"/>
      <c r="AC48" s="988"/>
      <c r="AD48" s="988"/>
      <c r="AE48" s="988"/>
      <c r="AF48" s="988"/>
      <c r="AG48" s="988"/>
      <c r="AH48" s="988"/>
      <c r="AI48" s="989"/>
    </row>
    <row r="49" spans="2:35" ht="22.5" customHeight="1">
      <c r="B49" s="638"/>
      <c r="C49" s="996" t="s">
        <v>465</v>
      </c>
      <c r="D49" s="997" t="s">
        <v>465</v>
      </c>
      <c r="E49" s="996" t="s">
        <v>467</v>
      </c>
      <c r="F49" s="996" t="s">
        <v>666</v>
      </c>
      <c r="G49" s="996" t="s">
        <v>820</v>
      </c>
      <c r="H49" s="996" t="s">
        <v>473</v>
      </c>
      <c r="I49" s="996" t="s">
        <v>703</v>
      </c>
      <c r="J49" s="996" t="s">
        <v>746</v>
      </c>
      <c r="K49" s="996" t="s">
        <v>988</v>
      </c>
      <c r="L49" s="996">
        <f>ejercicio-1</f>
        <v>2019</v>
      </c>
      <c r="M49" s="996">
        <f>ejercicio</f>
        <v>2020</v>
      </c>
      <c r="N49" s="996">
        <f>ejercicio</f>
        <v>2020</v>
      </c>
      <c r="O49" s="996">
        <f>ejercicio</f>
        <v>2020</v>
      </c>
      <c r="P49" s="996">
        <f>ejercicio</f>
        <v>2020</v>
      </c>
      <c r="Q49" s="996">
        <f>ejercicio</f>
        <v>2020</v>
      </c>
      <c r="R49" s="998" t="s">
        <v>668</v>
      </c>
      <c r="S49" s="999" t="s">
        <v>669</v>
      </c>
      <c r="T49" s="626"/>
      <c r="V49" s="986"/>
      <c r="W49" s="988"/>
      <c r="X49" s="988"/>
      <c r="Y49" s="988"/>
      <c r="Z49" s="988"/>
      <c r="AA49" s="988"/>
      <c r="AB49" s="988"/>
      <c r="AC49" s="988"/>
      <c r="AD49" s="988"/>
      <c r="AE49" s="988"/>
      <c r="AF49" s="988"/>
      <c r="AG49" s="988"/>
      <c r="AH49" s="988"/>
      <c r="AI49" s="989"/>
    </row>
    <row r="50" spans="2:35" ht="22.5" customHeight="1">
      <c r="B50" s="638"/>
      <c r="C50" s="520">
        <v>1</v>
      </c>
      <c r="D50" s="954" t="s">
        <v>1096</v>
      </c>
      <c r="E50" s="1230" t="s">
        <v>1100</v>
      </c>
      <c r="F50" s="1230" t="s">
        <v>1099</v>
      </c>
      <c r="G50" s="1229" t="s">
        <v>1099</v>
      </c>
      <c r="H50" s="578">
        <v>561</v>
      </c>
      <c r="I50" s="1230" t="s">
        <v>1099</v>
      </c>
      <c r="J50" s="789" t="s">
        <v>1099</v>
      </c>
      <c r="K50" s="1026" t="s">
        <v>1099</v>
      </c>
      <c r="L50" s="586">
        <v>35802.14</v>
      </c>
      <c r="M50" s="790"/>
      <c r="N50" s="790"/>
      <c r="O50" s="790"/>
      <c r="P50" s="719"/>
      <c r="Q50" s="1009">
        <f>L50+M50-N50</f>
        <v>35802.14</v>
      </c>
      <c r="R50" s="849">
        <v>35802.14</v>
      </c>
      <c r="S50" s="850"/>
      <c r="T50" s="626"/>
      <c r="V50" s="986"/>
      <c r="W50" s="988"/>
      <c r="X50" s="988"/>
      <c r="Y50" s="988"/>
      <c r="Z50" s="988"/>
      <c r="AA50" s="988"/>
      <c r="AB50" s="988"/>
      <c r="AC50" s="988"/>
      <c r="AD50" s="988"/>
      <c r="AE50" s="988"/>
      <c r="AF50" s="988"/>
      <c r="AG50" s="988"/>
      <c r="AH50" s="988"/>
      <c r="AI50" s="989"/>
    </row>
    <row r="51" spans="2:35" ht="22.5" customHeight="1">
      <c r="B51" s="638"/>
      <c r="C51" s="520"/>
      <c r="D51" s="954"/>
      <c r="E51" s="578"/>
      <c r="F51" s="578"/>
      <c r="G51" s="1229"/>
      <c r="H51" s="1230"/>
      <c r="I51" s="1230"/>
      <c r="J51" s="1230"/>
      <c r="K51" s="586"/>
      <c r="L51" s="586"/>
      <c r="M51" s="586"/>
      <c r="N51" s="586"/>
      <c r="O51" s="586"/>
      <c r="P51" s="719"/>
      <c r="Q51" s="1000">
        <f aca="true" t="shared" si="2" ref="Q51:Q74">L51+M51-N51</f>
        <v>0</v>
      </c>
      <c r="R51" s="851"/>
      <c r="S51" s="852"/>
      <c r="T51" s="626"/>
      <c r="V51" s="986"/>
      <c r="W51" s="988"/>
      <c r="X51" s="988"/>
      <c r="Y51" s="988"/>
      <c r="Z51" s="988"/>
      <c r="AA51" s="988"/>
      <c r="AB51" s="988"/>
      <c r="AC51" s="988"/>
      <c r="AD51" s="988"/>
      <c r="AE51" s="988"/>
      <c r="AF51" s="988"/>
      <c r="AG51" s="988"/>
      <c r="AH51" s="988"/>
      <c r="AI51" s="989"/>
    </row>
    <row r="52" spans="2:35" ht="22.5" customHeight="1">
      <c r="B52" s="638"/>
      <c r="C52" s="520"/>
      <c r="D52" s="517"/>
      <c r="E52" s="578" t="s">
        <v>654</v>
      </c>
      <c r="F52" s="578"/>
      <c r="G52" s="520"/>
      <c r="H52" s="578"/>
      <c r="I52" s="578"/>
      <c r="J52" s="578"/>
      <c r="K52" s="586"/>
      <c r="L52" s="586"/>
      <c r="M52" s="586"/>
      <c r="N52" s="586"/>
      <c r="O52" s="586"/>
      <c r="P52" s="719"/>
      <c r="Q52" s="1000">
        <f t="shared" si="2"/>
        <v>0</v>
      </c>
      <c r="R52" s="851"/>
      <c r="S52" s="852"/>
      <c r="T52" s="626"/>
      <c r="V52" s="986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88"/>
      <c r="AI52" s="989"/>
    </row>
    <row r="53" spans="2:35" ht="22.5" customHeight="1">
      <c r="B53" s="638"/>
      <c r="C53" s="520"/>
      <c r="D53" s="517"/>
      <c r="E53" s="578"/>
      <c r="F53" s="578"/>
      <c r="G53" s="520"/>
      <c r="H53" s="578"/>
      <c r="I53" s="578"/>
      <c r="J53" s="578"/>
      <c r="K53" s="586"/>
      <c r="L53" s="586"/>
      <c r="M53" s="586"/>
      <c r="N53" s="586"/>
      <c r="O53" s="586"/>
      <c r="P53" s="719"/>
      <c r="Q53" s="1000">
        <f t="shared" si="2"/>
        <v>0</v>
      </c>
      <c r="R53" s="851"/>
      <c r="S53" s="852"/>
      <c r="T53" s="626"/>
      <c r="V53" s="986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88"/>
      <c r="AI53" s="989"/>
    </row>
    <row r="54" spans="2:35" ht="22.5" customHeight="1">
      <c r="B54" s="638"/>
      <c r="C54" s="520"/>
      <c r="D54" s="517"/>
      <c r="E54" s="578"/>
      <c r="F54" s="578"/>
      <c r="G54" s="520"/>
      <c r="H54" s="578"/>
      <c r="I54" s="578"/>
      <c r="J54" s="578"/>
      <c r="K54" s="586"/>
      <c r="L54" s="586"/>
      <c r="M54" s="586"/>
      <c r="N54" s="586"/>
      <c r="O54" s="586"/>
      <c r="P54" s="719"/>
      <c r="Q54" s="1000">
        <f t="shared" si="2"/>
        <v>0</v>
      </c>
      <c r="R54" s="851"/>
      <c r="S54" s="852"/>
      <c r="T54" s="626"/>
      <c r="V54" s="986"/>
      <c r="W54" s="988"/>
      <c r="X54" s="988"/>
      <c r="Y54" s="988"/>
      <c r="Z54" s="988"/>
      <c r="AA54" s="988"/>
      <c r="AB54" s="988"/>
      <c r="AC54" s="988"/>
      <c r="AD54" s="988"/>
      <c r="AE54" s="988"/>
      <c r="AF54" s="988"/>
      <c r="AG54" s="988"/>
      <c r="AH54" s="988"/>
      <c r="AI54" s="989"/>
    </row>
    <row r="55" spans="2:35" ht="22.5" customHeight="1">
      <c r="B55" s="638"/>
      <c r="C55" s="520"/>
      <c r="D55" s="517"/>
      <c r="E55" s="578"/>
      <c r="F55" s="578"/>
      <c r="G55" s="520"/>
      <c r="H55" s="578"/>
      <c r="I55" s="578"/>
      <c r="J55" s="578"/>
      <c r="K55" s="586"/>
      <c r="L55" s="586"/>
      <c r="M55" s="586"/>
      <c r="N55" s="586"/>
      <c r="O55" s="586"/>
      <c r="P55" s="719"/>
      <c r="Q55" s="1000">
        <f t="shared" si="2"/>
        <v>0</v>
      </c>
      <c r="R55" s="851"/>
      <c r="S55" s="852"/>
      <c r="T55" s="626"/>
      <c r="V55" s="986"/>
      <c r="W55" s="988"/>
      <c r="X55" s="988"/>
      <c r="Y55" s="988"/>
      <c r="Z55" s="988"/>
      <c r="AA55" s="988"/>
      <c r="AB55" s="988"/>
      <c r="AC55" s="988"/>
      <c r="AD55" s="988"/>
      <c r="AE55" s="988"/>
      <c r="AF55" s="988"/>
      <c r="AG55" s="988"/>
      <c r="AH55" s="988"/>
      <c r="AI55" s="989"/>
    </row>
    <row r="56" spans="2:35" ht="22.5" customHeight="1">
      <c r="B56" s="638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9"/>
      <c r="Q56" s="1000">
        <f t="shared" si="2"/>
        <v>0</v>
      </c>
      <c r="R56" s="851"/>
      <c r="S56" s="852"/>
      <c r="T56" s="626"/>
      <c r="V56" s="986"/>
      <c r="W56" s="988"/>
      <c r="X56" s="988"/>
      <c r="Y56" s="988"/>
      <c r="Z56" s="988"/>
      <c r="AA56" s="988"/>
      <c r="AB56" s="988"/>
      <c r="AC56" s="988"/>
      <c r="AD56" s="988"/>
      <c r="AE56" s="988"/>
      <c r="AF56" s="988"/>
      <c r="AG56" s="988"/>
      <c r="AH56" s="988"/>
      <c r="AI56" s="989"/>
    </row>
    <row r="57" spans="2:35" ht="22.5" customHeight="1">
      <c r="B57" s="638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9"/>
      <c r="Q57" s="1000">
        <f t="shared" si="2"/>
        <v>0</v>
      </c>
      <c r="R57" s="851"/>
      <c r="S57" s="852"/>
      <c r="T57" s="626"/>
      <c r="V57" s="986"/>
      <c r="W57" s="988"/>
      <c r="X57" s="988"/>
      <c r="Y57" s="988"/>
      <c r="Z57" s="988"/>
      <c r="AA57" s="988"/>
      <c r="AB57" s="988"/>
      <c r="AC57" s="988"/>
      <c r="AD57" s="988"/>
      <c r="AE57" s="988"/>
      <c r="AF57" s="988"/>
      <c r="AG57" s="988"/>
      <c r="AH57" s="988"/>
      <c r="AI57" s="989"/>
    </row>
    <row r="58" spans="2:35" ht="22.5" customHeight="1">
      <c r="B58" s="638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9"/>
      <c r="Q58" s="1000">
        <f t="shared" si="2"/>
        <v>0</v>
      </c>
      <c r="R58" s="851"/>
      <c r="S58" s="852"/>
      <c r="T58" s="626"/>
      <c r="V58" s="986"/>
      <c r="W58" s="988"/>
      <c r="X58" s="988"/>
      <c r="Y58" s="988"/>
      <c r="Z58" s="988"/>
      <c r="AA58" s="988"/>
      <c r="AB58" s="988"/>
      <c r="AC58" s="988"/>
      <c r="AD58" s="988"/>
      <c r="AE58" s="988"/>
      <c r="AF58" s="988"/>
      <c r="AG58" s="988"/>
      <c r="AH58" s="988"/>
      <c r="AI58" s="989"/>
    </row>
    <row r="59" spans="2:35" ht="22.5" customHeight="1">
      <c r="B59" s="638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9"/>
      <c r="Q59" s="1000">
        <f t="shared" si="2"/>
        <v>0</v>
      </c>
      <c r="R59" s="851"/>
      <c r="S59" s="852"/>
      <c r="T59" s="626"/>
      <c r="V59" s="986"/>
      <c r="W59" s="988"/>
      <c r="X59" s="988"/>
      <c r="Y59" s="988"/>
      <c r="Z59" s="988"/>
      <c r="AA59" s="988"/>
      <c r="AB59" s="988"/>
      <c r="AC59" s="988"/>
      <c r="AD59" s="988"/>
      <c r="AE59" s="988"/>
      <c r="AF59" s="988"/>
      <c r="AG59" s="988"/>
      <c r="AH59" s="988"/>
      <c r="AI59" s="989"/>
    </row>
    <row r="60" spans="2:35" ht="22.5" customHeight="1">
      <c r="B60" s="638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9"/>
      <c r="Q60" s="1000">
        <f t="shared" si="2"/>
        <v>0</v>
      </c>
      <c r="R60" s="851"/>
      <c r="S60" s="852"/>
      <c r="T60" s="626"/>
      <c r="V60" s="986"/>
      <c r="W60" s="988"/>
      <c r="X60" s="988"/>
      <c r="Y60" s="988"/>
      <c r="Z60" s="988"/>
      <c r="AA60" s="988"/>
      <c r="AB60" s="988"/>
      <c r="AC60" s="988"/>
      <c r="AD60" s="988"/>
      <c r="AE60" s="988"/>
      <c r="AF60" s="988"/>
      <c r="AG60" s="988"/>
      <c r="AH60" s="988"/>
      <c r="AI60" s="989"/>
    </row>
    <row r="61" spans="2:35" ht="22.5" customHeight="1">
      <c r="B61" s="638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9"/>
      <c r="Q61" s="1000">
        <f t="shared" si="2"/>
        <v>0</v>
      </c>
      <c r="R61" s="851"/>
      <c r="S61" s="852"/>
      <c r="T61" s="626"/>
      <c r="V61" s="986"/>
      <c r="W61" s="988"/>
      <c r="X61" s="988"/>
      <c r="Y61" s="988"/>
      <c r="Z61" s="988"/>
      <c r="AA61" s="988"/>
      <c r="AB61" s="988"/>
      <c r="AC61" s="988"/>
      <c r="AD61" s="988"/>
      <c r="AE61" s="988"/>
      <c r="AF61" s="988"/>
      <c r="AG61" s="988"/>
      <c r="AH61" s="988"/>
      <c r="AI61" s="989"/>
    </row>
    <row r="62" spans="2:35" ht="22.5" customHeight="1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9"/>
      <c r="Q62" s="1000">
        <f t="shared" si="2"/>
        <v>0</v>
      </c>
      <c r="R62" s="851"/>
      <c r="S62" s="852"/>
      <c r="T62" s="626"/>
      <c r="V62" s="986"/>
      <c r="W62" s="988"/>
      <c r="X62" s="988"/>
      <c r="Y62" s="988"/>
      <c r="Z62" s="988"/>
      <c r="AA62" s="988"/>
      <c r="AB62" s="988"/>
      <c r="AC62" s="988"/>
      <c r="AD62" s="988"/>
      <c r="AE62" s="988"/>
      <c r="AF62" s="988"/>
      <c r="AG62" s="988"/>
      <c r="AH62" s="988"/>
      <c r="AI62" s="989"/>
    </row>
    <row r="63" spans="2:35" ht="22.5" customHeight="1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9"/>
      <c r="Q63" s="1000">
        <f t="shared" si="2"/>
        <v>0</v>
      </c>
      <c r="R63" s="851"/>
      <c r="S63" s="852"/>
      <c r="T63" s="626"/>
      <c r="V63" s="986"/>
      <c r="W63" s="988"/>
      <c r="X63" s="988"/>
      <c r="Y63" s="988"/>
      <c r="Z63" s="988"/>
      <c r="AA63" s="988"/>
      <c r="AB63" s="988"/>
      <c r="AC63" s="988"/>
      <c r="AD63" s="988"/>
      <c r="AE63" s="988"/>
      <c r="AF63" s="988"/>
      <c r="AG63" s="988"/>
      <c r="AH63" s="988"/>
      <c r="AI63" s="989"/>
    </row>
    <row r="64" spans="2:35" ht="22.5" customHeight="1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9"/>
      <c r="Q64" s="1000">
        <f t="shared" si="2"/>
        <v>0</v>
      </c>
      <c r="R64" s="851"/>
      <c r="S64" s="852"/>
      <c r="T64" s="626"/>
      <c r="V64" s="986"/>
      <c r="W64" s="988"/>
      <c r="X64" s="988"/>
      <c r="Y64" s="988"/>
      <c r="Z64" s="988"/>
      <c r="AA64" s="988"/>
      <c r="AB64" s="988"/>
      <c r="AC64" s="988"/>
      <c r="AD64" s="988"/>
      <c r="AE64" s="988"/>
      <c r="AF64" s="988"/>
      <c r="AG64" s="988"/>
      <c r="AH64" s="988"/>
      <c r="AI64" s="989"/>
    </row>
    <row r="65" spans="2:35" ht="22.5" customHeight="1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9"/>
      <c r="Q65" s="1000">
        <f t="shared" si="2"/>
        <v>0</v>
      </c>
      <c r="R65" s="851"/>
      <c r="S65" s="852"/>
      <c r="T65" s="626"/>
      <c r="V65" s="986"/>
      <c r="W65" s="988"/>
      <c r="X65" s="988"/>
      <c r="Y65" s="988"/>
      <c r="Z65" s="988"/>
      <c r="AA65" s="988"/>
      <c r="AB65" s="988"/>
      <c r="AC65" s="988"/>
      <c r="AD65" s="988"/>
      <c r="AE65" s="988"/>
      <c r="AF65" s="988"/>
      <c r="AG65" s="988"/>
      <c r="AH65" s="988"/>
      <c r="AI65" s="989"/>
    </row>
    <row r="66" spans="2:35" ht="22.5" customHeight="1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9"/>
      <c r="Q66" s="1000">
        <f t="shared" si="2"/>
        <v>0</v>
      </c>
      <c r="R66" s="851"/>
      <c r="S66" s="852"/>
      <c r="T66" s="626"/>
      <c r="V66" s="986"/>
      <c r="W66" s="988"/>
      <c r="X66" s="988"/>
      <c r="Y66" s="988"/>
      <c r="Z66" s="988"/>
      <c r="AA66" s="988"/>
      <c r="AB66" s="988"/>
      <c r="AC66" s="988"/>
      <c r="AD66" s="988"/>
      <c r="AE66" s="988"/>
      <c r="AF66" s="988"/>
      <c r="AG66" s="988"/>
      <c r="AH66" s="988"/>
      <c r="AI66" s="989"/>
    </row>
    <row r="67" spans="2:35" ht="22.5" customHeight="1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9"/>
      <c r="Q67" s="1000">
        <f t="shared" si="2"/>
        <v>0</v>
      </c>
      <c r="R67" s="851"/>
      <c r="S67" s="852"/>
      <c r="T67" s="626"/>
      <c r="V67" s="986"/>
      <c r="W67" s="988"/>
      <c r="X67" s="988"/>
      <c r="Y67" s="988"/>
      <c r="Z67" s="988"/>
      <c r="AA67" s="988"/>
      <c r="AB67" s="988"/>
      <c r="AC67" s="988"/>
      <c r="AD67" s="988"/>
      <c r="AE67" s="988"/>
      <c r="AF67" s="988"/>
      <c r="AG67" s="988"/>
      <c r="AH67" s="988"/>
      <c r="AI67" s="989"/>
    </row>
    <row r="68" spans="2:35" ht="22.5" customHeight="1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9"/>
      <c r="Q68" s="1000">
        <f t="shared" si="2"/>
        <v>0</v>
      </c>
      <c r="R68" s="851"/>
      <c r="S68" s="852"/>
      <c r="T68" s="626"/>
      <c r="V68" s="986"/>
      <c r="W68" s="988"/>
      <c r="X68" s="988"/>
      <c r="Y68" s="988"/>
      <c r="Z68" s="988"/>
      <c r="AA68" s="988"/>
      <c r="AB68" s="988"/>
      <c r="AC68" s="988"/>
      <c r="AD68" s="988"/>
      <c r="AE68" s="988"/>
      <c r="AF68" s="988"/>
      <c r="AG68" s="988"/>
      <c r="AH68" s="988"/>
      <c r="AI68" s="989"/>
    </row>
    <row r="69" spans="2:35" ht="22.5" customHeight="1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9"/>
      <c r="Q69" s="1000">
        <f t="shared" si="2"/>
        <v>0</v>
      </c>
      <c r="R69" s="851"/>
      <c r="S69" s="852"/>
      <c r="T69" s="626"/>
      <c r="V69" s="986"/>
      <c r="W69" s="988"/>
      <c r="X69" s="988"/>
      <c r="Y69" s="988"/>
      <c r="Z69" s="988"/>
      <c r="AA69" s="988"/>
      <c r="AB69" s="988"/>
      <c r="AC69" s="988"/>
      <c r="AD69" s="988"/>
      <c r="AE69" s="988"/>
      <c r="AF69" s="988"/>
      <c r="AG69" s="988"/>
      <c r="AH69" s="988"/>
      <c r="AI69" s="989"/>
    </row>
    <row r="70" spans="2:35" ht="22.5" customHeight="1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9"/>
      <c r="Q70" s="1000">
        <f t="shared" si="2"/>
        <v>0</v>
      </c>
      <c r="R70" s="851"/>
      <c r="S70" s="852"/>
      <c r="T70" s="626"/>
      <c r="V70" s="986"/>
      <c r="W70" s="988"/>
      <c r="X70" s="988"/>
      <c r="Y70" s="988"/>
      <c r="Z70" s="988"/>
      <c r="AA70" s="988"/>
      <c r="AB70" s="988"/>
      <c r="AC70" s="988"/>
      <c r="AD70" s="988"/>
      <c r="AE70" s="988"/>
      <c r="AF70" s="988"/>
      <c r="AG70" s="988"/>
      <c r="AH70" s="988"/>
      <c r="AI70" s="989"/>
    </row>
    <row r="71" spans="2:35" ht="22.5" customHeight="1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9"/>
      <c r="Q71" s="1000">
        <f t="shared" si="2"/>
        <v>0</v>
      </c>
      <c r="R71" s="851"/>
      <c r="S71" s="852"/>
      <c r="T71" s="626"/>
      <c r="V71" s="986"/>
      <c r="W71" s="988"/>
      <c r="X71" s="988"/>
      <c r="Y71" s="988"/>
      <c r="Z71" s="988"/>
      <c r="AA71" s="988"/>
      <c r="AB71" s="988"/>
      <c r="AC71" s="988"/>
      <c r="AD71" s="988"/>
      <c r="AE71" s="988"/>
      <c r="AF71" s="988"/>
      <c r="AG71" s="988"/>
      <c r="AH71" s="988"/>
      <c r="AI71" s="989"/>
    </row>
    <row r="72" spans="2:35" ht="22.5" customHeight="1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9"/>
      <c r="Q72" s="1000">
        <f t="shared" si="2"/>
        <v>0</v>
      </c>
      <c r="R72" s="851"/>
      <c r="S72" s="852"/>
      <c r="T72" s="626"/>
      <c r="V72" s="986"/>
      <c r="W72" s="988"/>
      <c r="X72" s="988"/>
      <c r="Y72" s="988"/>
      <c r="Z72" s="988"/>
      <c r="AA72" s="988"/>
      <c r="AB72" s="988"/>
      <c r="AC72" s="988"/>
      <c r="AD72" s="988"/>
      <c r="AE72" s="988"/>
      <c r="AF72" s="988"/>
      <c r="AG72" s="988"/>
      <c r="AH72" s="988"/>
      <c r="AI72" s="989"/>
    </row>
    <row r="73" spans="2:35" ht="22.5" customHeight="1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20"/>
      <c r="Q73" s="1001">
        <f t="shared" si="2"/>
        <v>0</v>
      </c>
      <c r="R73" s="851"/>
      <c r="S73" s="852"/>
      <c r="T73" s="626"/>
      <c r="V73" s="986"/>
      <c r="W73" s="988"/>
      <c r="X73" s="988"/>
      <c r="Y73" s="988"/>
      <c r="Z73" s="988"/>
      <c r="AA73" s="988"/>
      <c r="AB73" s="988"/>
      <c r="AC73" s="988"/>
      <c r="AD73" s="988"/>
      <c r="AE73" s="988"/>
      <c r="AF73" s="988"/>
      <c r="AG73" s="988"/>
      <c r="AH73" s="988"/>
      <c r="AI73" s="989"/>
    </row>
    <row r="74" spans="2:35" ht="22.5" customHeight="1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1"/>
      <c r="Q74" s="1002">
        <f t="shared" si="2"/>
        <v>0</v>
      </c>
      <c r="R74" s="853"/>
      <c r="S74" s="854"/>
      <c r="T74" s="626"/>
      <c r="V74" s="986"/>
      <c r="W74" s="988"/>
      <c r="X74" s="988"/>
      <c r="Y74" s="988"/>
      <c r="Z74" s="988"/>
      <c r="AA74" s="988"/>
      <c r="AB74" s="988"/>
      <c r="AC74" s="988"/>
      <c r="AD74" s="988"/>
      <c r="AE74" s="988"/>
      <c r="AF74" s="988"/>
      <c r="AG74" s="988"/>
      <c r="AH74" s="988"/>
      <c r="AI74" s="989"/>
    </row>
    <row r="75" spans="2:35" ht="22.5" customHeight="1" thickBot="1">
      <c r="B75" s="638"/>
      <c r="C75" s="616"/>
      <c r="D75" s="616"/>
      <c r="E75" s="980"/>
      <c r="F75" s="980"/>
      <c r="G75" s="980"/>
      <c r="H75" s="1469" t="s">
        <v>471</v>
      </c>
      <c r="I75" s="1470"/>
      <c r="J75" s="1471"/>
      <c r="K75" s="1003">
        <f aca="true" t="shared" si="3" ref="K75:S75">SUM(K50:K74)</f>
        <v>0</v>
      </c>
      <c r="L75" s="1004">
        <f t="shared" si="3"/>
        <v>35802.14</v>
      </c>
      <c r="M75" s="1005">
        <f t="shared" si="3"/>
        <v>0</v>
      </c>
      <c r="N75" s="1005">
        <f t="shared" si="3"/>
        <v>0</v>
      </c>
      <c r="O75" s="1003">
        <f t="shared" si="3"/>
        <v>0</v>
      </c>
      <c r="P75" s="1003">
        <f t="shared" si="3"/>
        <v>0</v>
      </c>
      <c r="Q75" s="1006">
        <f t="shared" si="3"/>
        <v>35802.14</v>
      </c>
      <c r="R75" s="1005">
        <f t="shared" si="3"/>
        <v>35802.14</v>
      </c>
      <c r="S75" s="674">
        <f t="shared" si="3"/>
        <v>0</v>
      </c>
      <c r="T75" s="626"/>
      <c r="V75" s="986"/>
      <c r="W75" s="988"/>
      <c r="X75" s="988"/>
      <c r="Y75" s="988"/>
      <c r="Z75" s="988"/>
      <c r="AA75" s="988"/>
      <c r="AB75" s="988"/>
      <c r="AC75" s="988"/>
      <c r="AD75" s="988"/>
      <c r="AE75" s="988"/>
      <c r="AF75" s="988"/>
      <c r="AG75" s="988"/>
      <c r="AH75" s="988"/>
      <c r="AI75" s="989"/>
    </row>
    <row r="76" spans="2:35" ht="22.5" customHeight="1">
      <c r="B76" s="638"/>
      <c r="C76" s="616"/>
      <c r="D76" s="616"/>
      <c r="E76" s="980"/>
      <c r="F76" s="980"/>
      <c r="G76" s="980"/>
      <c r="H76" s="1008"/>
      <c r="I76" s="1008"/>
      <c r="J76" s="1008"/>
      <c r="K76" s="980"/>
      <c r="L76" s="980"/>
      <c r="M76" s="980"/>
      <c r="N76" s="980"/>
      <c r="O76" s="980"/>
      <c r="P76" s="980"/>
      <c r="Q76" s="980"/>
      <c r="R76" s="980"/>
      <c r="S76" s="980"/>
      <c r="T76" s="626"/>
      <c r="V76" s="986"/>
      <c r="W76" s="988"/>
      <c r="X76" s="988"/>
      <c r="Y76" s="988"/>
      <c r="Z76" s="988"/>
      <c r="AA76" s="988"/>
      <c r="AB76" s="988"/>
      <c r="AC76" s="988"/>
      <c r="AD76" s="988"/>
      <c r="AE76" s="988"/>
      <c r="AF76" s="988"/>
      <c r="AG76" s="988"/>
      <c r="AH76" s="988"/>
      <c r="AI76" s="989"/>
    </row>
    <row r="77" spans="2:35" ht="22.5" customHeight="1">
      <c r="B77" s="638"/>
      <c r="C77" s="991" t="s">
        <v>821</v>
      </c>
      <c r="D77" s="957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6"/>
      <c r="W77" s="988"/>
      <c r="X77" s="988"/>
      <c r="Y77" s="988"/>
      <c r="Z77" s="988"/>
      <c r="AA77" s="988"/>
      <c r="AB77" s="988"/>
      <c r="AC77" s="988"/>
      <c r="AD77" s="988"/>
      <c r="AE77" s="988"/>
      <c r="AF77" s="988"/>
      <c r="AG77" s="988"/>
      <c r="AH77" s="988"/>
      <c r="AI77" s="989"/>
    </row>
    <row r="78" spans="2:35" ht="22.5" customHeight="1">
      <c r="B78" s="638"/>
      <c r="C78" s="957"/>
      <c r="D78" s="957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6"/>
      <c r="W78" s="988"/>
      <c r="X78" s="988"/>
      <c r="Y78" s="988"/>
      <c r="Z78" s="988"/>
      <c r="AA78" s="988"/>
      <c r="AB78" s="988"/>
      <c r="AC78" s="988"/>
      <c r="AD78" s="988"/>
      <c r="AE78" s="988"/>
      <c r="AF78" s="988"/>
      <c r="AG78" s="988"/>
      <c r="AH78" s="988"/>
      <c r="AI78" s="989"/>
    </row>
    <row r="79" spans="2:35" ht="22.5" customHeight="1">
      <c r="B79" s="638"/>
      <c r="C79" s="957"/>
      <c r="D79" s="957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6"/>
      <c r="W79" s="988"/>
      <c r="X79" s="988"/>
      <c r="Y79" s="988"/>
      <c r="Z79" s="988"/>
      <c r="AA79" s="988"/>
      <c r="AB79" s="988"/>
      <c r="AC79" s="988"/>
      <c r="AD79" s="988"/>
      <c r="AE79" s="988"/>
      <c r="AF79" s="988"/>
      <c r="AG79" s="988"/>
      <c r="AH79" s="988"/>
      <c r="AI79" s="989"/>
    </row>
    <row r="80" spans="2:35" ht="37.5" customHeight="1">
      <c r="B80" s="638"/>
      <c r="C80" s="992" t="s">
        <v>464</v>
      </c>
      <c r="D80" s="993" t="s">
        <v>466</v>
      </c>
      <c r="E80" s="992" t="s">
        <v>665</v>
      </c>
      <c r="F80" s="992" t="s">
        <v>665</v>
      </c>
      <c r="G80" s="992" t="s">
        <v>468</v>
      </c>
      <c r="H80" s="992" t="s">
        <v>472</v>
      </c>
      <c r="I80" s="992" t="s">
        <v>474</v>
      </c>
      <c r="J80" s="992" t="s">
        <v>718</v>
      </c>
      <c r="K80" s="992" t="s">
        <v>470</v>
      </c>
      <c r="L80" s="992" t="s">
        <v>667</v>
      </c>
      <c r="M80" s="994" t="s">
        <v>678</v>
      </c>
      <c r="N80" s="992" t="s">
        <v>989</v>
      </c>
      <c r="O80" s="992" t="s">
        <v>990</v>
      </c>
      <c r="P80" s="995" t="s">
        <v>991</v>
      </c>
      <c r="Q80" s="992" t="s">
        <v>667</v>
      </c>
      <c r="R80" s="1467" t="s">
        <v>992</v>
      </c>
      <c r="S80" s="1468"/>
      <c r="T80" s="626"/>
      <c r="V80" s="986"/>
      <c r="W80" s="988"/>
      <c r="X80" s="988"/>
      <c r="Y80" s="988"/>
      <c r="Z80" s="988"/>
      <c r="AA80" s="988"/>
      <c r="AB80" s="988"/>
      <c r="AC80" s="988"/>
      <c r="AD80" s="988"/>
      <c r="AE80" s="988"/>
      <c r="AF80" s="988"/>
      <c r="AG80" s="988"/>
      <c r="AH80" s="988"/>
      <c r="AI80" s="989"/>
    </row>
    <row r="81" spans="2:35" ht="22.5" customHeight="1">
      <c r="B81" s="638"/>
      <c r="C81" s="996" t="s">
        <v>465</v>
      </c>
      <c r="D81" s="997" t="s">
        <v>465</v>
      </c>
      <c r="E81" s="996" t="s">
        <v>467</v>
      </c>
      <c r="F81" s="996" t="s">
        <v>666</v>
      </c>
      <c r="G81" s="996" t="s">
        <v>820</v>
      </c>
      <c r="H81" s="996" t="s">
        <v>473</v>
      </c>
      <c r="I81" s="996" t="s">
        <v>703</v>
      </c>
      <c r="J81" s="996" t="s">
        <v>746</v>
      </c>
      <c r="K81" s="996" t="s">
        <v>988</v>
      </c>
      <c r="L81" s="996">
        <f>ejercicio-1</f>
        <v>2019</v>
      </c>
      <c r="M81" s="996">
        <f>ejercicio</f>
        <v>2020</v>
      </c>
      <c r="N81" s="996">
        <f>ejercicio</f>
        <v>2020</v>
      </c>
      <c r="O81" s="996">
        <f>ejercicio</f>
        <v>2020</v>
      </c>
      <c r="P81" s="996">
        <f>ejercicio</f>
        <v>2020</v>
      </c>
      <c r="Q81" s="996">
        <f>ejercicio</f>
        <v>2020</v>
      </c>
      <c r="R81" s="998" t="s">
        <v>668</v>
      </c>
      <c r="S81" s="999" t="s">
        <v>669</v>
      </c>
      <c r="T81" s="626"/>
      <c r="V81" s="986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9"/>
    </row>
    <row r="82" spans="2:35" ht="22.5" customHeight="1">
      <c r="B82" s="638"/>
      <c r="C82" s="520">
        <v>1</v>
      </c>
      <c r="D82" s="954" t="s">
        <v>1097</v>
      </c>
      <c r="E82" s="1230" t="s">
        <v>1099</v>
      </c>
      <c r="F82" s="1230" t="s">
        <v>1099</v>
      </c>
      <c r="G82" s="1229" t="s">
        <v>1099</v>
      </c>
      <c r="H82" s="1230" t="s">
        <v>1098</v>
      </c>
      <c r="I82" s="1230" t="s">
        <v>1099</v>
      </c>
      <c r="J82" s="789" t="s">
        <v>1099</v>
      </c>
      <c r="K82" s="1026" t="s">
        <v>1099</v>
      </c>
      <c r="L82" s="586">
        <v>5178.12</v>
      </c>
      <c r="M82" s="790"/>
      <c r="N82" s="790"/>
      <c r="O82" s="790"/>
      <c r="P82" s="719"/>
      <c r="Q82" s="1009">
        <f>L82+M82-N82</f>
        <v>5178.12</v>
      </c>
      <c r="R82" s="849">
        <v>5178.12</v>
      </c>
      <c r="S82" s="850"/>
      <c r="T82" s="626"/>
      <c r="V82" s="986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9"/>
    </row>
    <row r="83" spans="2:35" ht="22.5" customHeight="1">
      <c r="B83" s="638"/>
      <c r="C83" s="520"/>
      <c r="D83" s="517"/>
      <c r="E83" s="578"/>
      <c r="F83" s="578"/>
      <c r="G83" s="520"/>
      <c r="H83" s="578"/>
      <c r="I83" s="578"/>
      <c r="J83" s="578"/>
      <c r="K83" s="586"/>
      <c r="L83" s="586"/>
      <c r="M83" s="586"/>
      <c r="N83" s="586"/>
      <c r="O83" s="586"/>
      <c r="P83" s="719"/>
      <c r="Q83" s="1000">
        <f aca="true" t="shared" si="4" ref="Q83:Q106">L83+M83-N83</f>
        <v>0</v>
      </c>
      <c r="R83" s="851"/>
      <c r="S83" s="852"/>
      <c r="T83" s="626"/>
      <c r="V83" s="986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9"/>
    </row>
    <row r="84" spans="2:35" ht="22.5" customHeight="1">
      <c r="B84" s="638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9"/>
      <c r="Q84" s="1000">
        <f t="shared" si="4"/>
        <v>0</v>
      </c>
      <c r="R84" s="851"/>
      <c r="S84" s="852"/>
      <c r="T84" s="626"/>
      <c r="V84" s="986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9"/>
    </row>
    <row r="85" spans="2:35" ht="22.5" customHeight="1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9"/>
      <c r="Q85" s="1000">
        <f t="shared" si="4"/>
        <v>0</v>
      </c>
      <c r="R85" s="851"/>
      <c r="S85" s="852"/>
      <c r="T85" s="626"/>
      <c r="V85" s="986"/>
      <c r="W85" s="988"/>
      <c r="X85" s="988"/>
      <c r="Y85" s="988"/>
      <c r="Z85" s="988"/>
      <c r="AA85" s="988"/>
      <c r="AB85" s="988"/>
      <c r="AC85" s="988"/>
      <c r="AD85" s="988"/>
      <c r="AE85" s="988"/>
      <c r="AF85" s="988"/>
      <c r="AG85" s="988"/>
      <c r="AH85" s="988"/>
      <c r="AI85" s="989"/>
    </row>
    <row r="86" spans="2:35" ht="22.5" customHeight="1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9"/>
      <c r="Q86" s="1000">
        <f t="shared" si="4"/>
        <v>0</v>
      </c>
      <c r="R86" s="851"/>
      <c r="S86" s="852"/>
      <c r="T86" s="626"/>
      <c r="V86" s="986"/>
      <c r="W86" s="988"/>
      <c r="X86" s="988"/>
      <c r="Y86" s="988"/>
      <c r="Z86" s="988"/>
      <c r="AA86" s="988"/>
      <c r="AB86" s="988"/>
      <c r="AC86" s="988"/>
      <c r="AD86" s="988"/>
      <c r="AE86" s="988"/>
      <c r="AF86" s="988"/>
      <c r="AG86" s="988"/>
      <c r="AH86" s="988"/>
      <c r="AI86" s="989"/>
    </row>
    <row r="87" spans="2:35" ht="22.5" customHeight="1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9"/>
      <c r="Q87" s="1000">
        <f t="shared" si="4"/>
        <v>0</v>
      </c>
      <c r="R87" s="851"/>
      <c r="S87" s="852"/>
      <c r="T87" s="626"/>
      <c r="V87" s="986"/>
      <c r="W87" s="988"/>
      <c r="X87" s="988"/>
      <c r="Y87" s="988"/>
      <c r="Z87" s="988"/>
      <c r="AA87" s="988"/>
      <c r="AB87" s="988"/>
      <c r="AC87" s="988"/>
      <c r="AD87" s="988"/>
      <c r="AE87" s="988"/>
      <c r="AF87" s="988"/>
      <c r="AG87" s="988"/>
      <c r="AH87" s="988"/>
      <c r="AI87" s="989"/>
    </row>
    <row r="88" spans="2:35" ht="22.5" customHeight="1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9"/>
      <c r="Q88" s="1000">
        <f t="shared" si="4"/>
        <v>0</v>
      </c>
      <c r="R88" s="851"/>
      <c r="S88" s="852"/>
      <c r="T88" s="626"/>
      <c r="V88" s="986"/>
      <c r="W88" s="988"/>
      <c r="X88" s="988"/>
      <c r="Y88" s="988"/>
      <c r="Z88" s="988"/>
      <c r="AA88" s="988"/>
      <c r="AB88" s="988"/>
      <c r="AC88" s="988"/>
      <c r="AD88" s="988"/>
      <c r="AE88" s="988"/>
      <c r="AF88" s="988"/>
      <c r="AG88" s="988"/>
      <c r="AH88" s="988"/>
      <c r="AI88" s="989"/>
    </row>
    <row r="89" spans="2:35" ht="22.5" customHeight="1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9"/>
      <c r="Q89" s="1000">
        <f t="shared" si="4"/>
        <v>0</v>
      </c>
      <c r="R89" s="851"/>
      <c r="S89" s="852"/>
      <c r="T89" s="626"/>
      <c r="V89" s="986"/>
      <c r="W89" s="988"/>
      <c r="X89" s="988"/>
      <c r="Y89" s="988"/>
      <c r="Z89" s="988"/>
      <c r="AA89" s="988"/>
      <c r="AB89" s="988"/>
      <c r="AC89" s="988"/>
      <c r="AD89" s="988"/>
      <c r="AE89" s="988"/>
      <c r="AF89" s="988"/>
      <c r="AG89" s="988"/>
      <c r="AH89" s="988"/>
      <c r="AI89" s="989"/>
    </row>
    <row r="90" spans="2:35" ht="22.5" customHeight="1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9"/>
      <c r="Q90" s="1000">
        <f t="shared" si="4"/>
        <v>0</v>
      </c>
      <c r="R90" s="851"/>
      <c r="S90" s="852"/>
      <c r="T90" s="626"/>
      <c r="V90" s="986"/>
      <c r="W90" s="988"/>
      <c r="X90" s="988"/>
      <c r="Y90" s="988"/>
      <c r="Z90" s="988"/>
      <c r="AA90" s="988"/>
      <c r="AB90" s="988"/>
      <c r="AC90" s="988"/>
      <c r="AD90" s="988"/>
      <c r="AE90" s="988"/>
      <c r="AF90" s="988"/>
      <c r="AG90" s="988"/>
      <c r="AH90" s="988"/>
      <c r="AI90" s="989"/>
    </row>
    <row r="91" spans="2:35" ht="22.5" customHeight="1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9"/>
      <c r="Q91" s="1000">
        <f t="shared" si="4"/>
        <v>0</v>
      </c>
      <c r="R91" s="851"/>
      <c r="S91" s="852"/>
      <c r="T91" s="626"/>
      <c r="V91" s="986"/>
      <c r="W91" s="988"/>
      <c r="X91" s="988"/>
      <c r="Y91" s="988"/>
      <c r="Z91" s="988"/>
      <c r="AA91" s="988"/>
      <c r="AB91" s="988"/>
      <c r="AC91" s="988"/>
      <c r="AD91" s="988"/>
      <c r="AE91" s="988"/>
      <c r="AF91" s="988"/>
      <c r="AG91" s="988"/>
      <c r="AH91" s="988"/>
      <c r="AI91" s="989"/>
    </row>
    <row r="92" spans="2:35" ht="22.5" customHeight="1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9"/>
      <c r="Q92" s="1000">
        <f t="shared" si="4"/>
        <v>0</v>
      </c>
      <c r="R92" s="851"/>
      <c r="S92" s="852"/>
      <c r="T92" s="626"/>
      <c r="V92" s="986"/>
      <c r="W92" s="988"/>
      <c r="X92" s="988"/>
      <c r="Y92" s="988"/>
      <c r="Z92" s="988"/>
      <c r="AA92" s="988"/>
      <c r="AB92" s="988"/>
      <c r="AC92" s="988"/>
      <c r="AD92" s="988"/>
      <c r="AE92" s="988"/>
      <c r="AF92" s="988"/>
      <c r="AG92" s="988"/>
      <c r="AH92" s="988"/>
      <c r="AI92" s="989"/>
    </row>
    <row r="93" spans="2:35" ht="22.5" customHeight="1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9"/>
      <c r="Q93" s="1000">
        <f t="shared" si="4"/>
        <v>0</v>
      </c>
      <c r="R93" s="851"/>
      <c r="S93" s="852"/>
      <c r="T93" s="626"/>
      <c r="V93" s="986"/>
      <c r="W93" s="988"/>
      <c r="X93" s="988"/>
      <c r="Y93" s="988"/>
      <c r="Z93" s="988"/>
      <c r="AA93" s="988"/>
      <c r="AB93" s="988"/>
      <c r="AC93" s="988"/>
      <c r="AD93" s="988"/>
      <c r="AE93" s="988"/>
      <c r="AF93" s="988"/>
      <c r="AG93" s="988"/>
      <c r="AH93" s="988"/>
      <c r="AI93" s="989"/>
    </row>
    <row r="94" spans="2:35" ht="22.5" customHeight="1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9"/>
      <c r="Q94" s="1000">
        <f t="shared" si="4"/>
        <v>0</v>
      </c>
      <c r="R94" s="851"/>
      <c r="S94" s="852"/>
      <c r="T94" s="626"/>
      <c r="V94" s="986"/>
      <c r="W94" s="988"/>
      <c r="X94" s="988"/>
      <c r="Y94" s="988"/>
      <c r="Z94" s="988"/>
      <c r="AA94" s="988"/>
      <c r="AB94" s="988"/>
      <c r="AC94" s="988"/>
      <c r="AD94" s="988"/>
      <c r="AE94" s="988"/>
      <c r="AF94" s="988"/>
      <c r="AG94" s="988"/>
      <c r="AH94" s="988"/>
      <c r="AI94" s="989"/>
    </row>
    <row r="95" spans="2:35" ht="22.5" customHeight="1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9"/>
      <c r="Q95" s="1000">
        <f t="shared" si="4"/>
        <v>0</v>
      </c>
      <c r="R95" s="851"/>
      <c r="S95" s="852"/>
      <c r="T95" s="626"/>
      <c r="V95" s="986"/>
      <c r="W95" s="988"/>
      <c r="X95" s="988"/>
      <c r="Y95" s="988"/>
      <c r="Z95" s="988"/>
      <c r="AA95" s="988"/>
      <c r="AB95" s="988"/>
      <c r="AC95" s="988"/>
      <c r="AD95" s="988"/>
      <c r="AE95" s="988"/>
      <c r="AF95" s="988"/>
      <c r="AG95" s="988"/>
      <c r="AH95" s="988"/>
      <c r="AI95" s="989"/>
    </row>
    <row r="96" spans="2:35" ht="22.5" customHeight="1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9"/>
      <c r="Q96" s="1000">
        <f t="shared" si="4"/>
        <v>0</v>
      </c>
      <c r="R96" s="851"/>
      <c r="S96" s="852"/>
      <c r="T96" s="626"/>
      <c r="V96" s="986"/>
      <c r="W96" s="988"/>
      <c r="X96" s="988"/>
      <c r="Y96" s="988"/>
      <c r="Z96" s="988"/>
      <c r="AA96" s="988"/>
      <c r="AB96" s="988"/>
      <c r="AC96" s="988"/>
      <c r="AD96" s="988"/>
      <c r="AE96" s="988"/>
      <c r="AF96" s="988"/>
      <c r="AG96" s="988"/>
      <c r="AH96" s="988"/>
      <c r="AI96" s="989"/>
    </row>
    <row r="97" spans="2:35" ht="22.5" customHeight="1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9"/>
      <c r="Q97" s="1000">
        <f t="shared" si="4"/>
        <v>0</v>
      </c>
      <c r="R97" s="851"/>
      <c r="S97" s="852"/>
      <c r="T97" s="626"/>
      <c r="V97" s="986"/>
      <c r="W97" s="988"/>
      <c r="X97" s="988"/>
      <c r="Y97" s="988"/>
      <c r="Z97" s="988"/>
      <c r="AA97" s="988"/>
      <c r="AB97" s="988"/>
      <c r="AC97" s="988"/>
      <c r="AD97" s="988"/>
      <c r="AE97" s="988"/>
      <c r="AF97" s="988"/>
      <c r="AG97" s="988"/>
      <c r="AH97" s="988"/>
      <c r="AI97" s="989"/>
    </row>
    <row r="98" spans="2:35" ht="22.5" customHeight="1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9"/>
      <c r="Q98" s="1000">
        <f t="shared" si="4"/>
        <v>0</v>
      </c>
      <c r="R98" s="851"/>
      <c r="S98" s="852"/>
      <c r="T98" s="626"/>
      <c r="V98" s="986"/>
      <c r="W98" s="988"/>
      <c r="X98" s="988"/>
      <c r="Y98" s="988"/>
      <c r="Z98" s="988"/>
      <c r="AA98" s="988"/>
      <c r="AB98" s="988"/>
      <c r="AC98" s="988"/>
      <c r="AD98" s="988"/>
      <c r="AE98" s="988"/>
      <c r="AF98" s="988"/>
      <c r="AG98" s="988"/>
      <c r="AH98" s="988"/>
      <c r="AI98" s="989"/>
    </row>
    <row r="99" spans="2:35" ht="22.5" customHeight="1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9"/>
      <c r="Q99" s="1000">
        <f t="shared" si="4"/>
        <v>0</v>
      </c>
      <c r="R99" s="851"/>
      <c r="S99" s="852"/>
      <c r="T99" s="626"/>
      <c r="V99" s="986"/>
      <c r="W99" s="988"/>
      <c r="X99" s="988"/>
      <c r="Y99" s="988"/>
      <c r="Z99" s="988"/>
      <c r="AA99" s="988"/>
      <c r="AB99" s="988"/>
      <c r="AC99" s="988"/>
      <c r="AD99" s="988"/>
      <c r="AE99" s="988"/>
      <c r="AF99" s="988"/>
      <c r="AG99" s="988"/>
      <c r="AH99" s="988"/>
      <c r="AI99" s="989"/>
    </row>
    <row r="100" spans="2:35" ht="22.5" customHeight="1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9"/>
      <c r="Q100" s="1000">
        <f t="shared" si="4"/>
        <v>0</v>
      </c>
      <c r="R100" s="851"/>
      <c r="S100" s="852"/>
      <c r="T100" s="626"/>
      <c r="V100" s="986"/>
      <c r="W100" s="988"/>
      <c r="X100" s="988"/>
      <c r="Y100" s="988"/>
      <c r="Z100" s="988"/>
      <c r="AA100" s="988"/>
      <c r="AB100" s="988"/>
      <c r="AC100" s="988"/>
      <c r="AD100" s="988"/>
      <c r="AE100" s="988"/>
      <c r="AF100" s="988"/>
      <c r="AG100" s="988"/>
      <c r="AH100" s="988"/>
      <c r="AI100" s="989"/>
    </row>
    <row r="101" spans="2:35" ht="22.5" customHeight="1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9"/>
      <c r="Q101" s="1000">
        <f t="shared" si="4"/>
        <v>0</v>
      </c>
      <c r="R101" s="851"/>
      <c r="S101" s="852"/>
      <c r="T101" s="626"/>
      <c r="V101" s="986"/>
      <c r="W101" s="988"/>
      <c r="X101" s="988"/>
      <c r="Y101" s="988"/>
      <c r="Z101" s="988"/>
      <c r="AA101" s="988"/>
      <c r="AB101" s="988"/>
      <c r="AC101" s="988"/>
      <c r="AD101" s="988"/>
      <c r="AE101" s="988"/>
      <c r="AF101" s="988"/>
      <c r="AG101" s="988"/>
      <c r="AH101" s="988"/>
      <c r="AI101" s="989"/>
    </row>
    <row r="102" spans="2:35" ht="22.5" customHeight="1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9"/>
      <c r="Q102" s="1000">
        <f t="shared" si="4"/>
        <v>0</v>
      </c>
      <c r="R102" s="851"/>
      <c r="S102" s="852"/>
      <c r="T102" s="626"/>
      <c r="V102" s="986"/>
      <c r="W102" s="988"/>
      <c r="X102" s="988"/>
      <c r="Y102" s="988"/>
      <c r="Z102" s="988"/>
      <c r="AA102" s="988"/>
      <c r="AB102" s="988"/>
      <c r="AC102" s="988"/>
      <c r="AD102" s="988"/>
      <c r="AE102" s="988"/>
      <c r="AF102" s="988"/>
      <c r="AG102" s="988"/>
      <c r="AH102" s="988"/>
      <c r="AI102" s="989"/>
    </row>
    <row r="103" spans="2:35" ht="22.5" customHeight="1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9"/>
      <c r="Q103" s="1000">
        <f t="shared" si="4"/>
        <v>0</v>
      </c>
      <c r="R103" s="851"/>
      <c r="S103" s="852"/>
      <c r="T103" s="626"/>
      <c r="V103" s="986"/>
      <c r="W103" s="988"/>
      <c r="X103" s="988"/>
      <c r="Y103" s="988"/>
      <c r="Z103" s="988"/>
      <c r="AA103" s="988"/>
      <c r="AB103" s="988"/>
      <c r="AC103" s="988"/>
      <c r="AD103" s="988"/>
      <c r="AE103" s="988"/>
      <c r="AF103" s="988"/>
      <c r="AG103" s="988"/>
      <c r="AH103" s="988"/>
      <c r="AI103" s="989"/>
    </row>
    <row r="104" spans="2:35" ht="22.5" customHeight="1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9"/>
      <c r="Q104" s="1000">
        <f t="shared" si="4"/>
        <v>0</v>
      </c>
      <c r="R104" s="851"/>
      <c r="S104" s="852"/>
      <c r="T104" s="626"/>
      <c r="V104" s="986"/>
      <c r="W104" s="988"/>
      <c r="X104" s="988"/>
      <c r="Y104" s="988"/>
      <c r="Z104" s="988"/>
      <c r="AA104" s="988"/>
      <c r="AB104" s="988"/>
      <c r="AC104" s="988"/>
      <c r="AD104" s="988"/>
      <c r="AE104" s="988"/>
      <c r="AF104" s="988"/>
      <c r="AG104" s="988"/>
      <c r="AH104" s="988"/>
      <c r="AI104" s="989"/>
    </row>
    <row r="105" spans="2:35" ht="22.5" customHeight="1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20"/>
      <c r="Q105" s="1001">
        <f t="shared" si="4"/>
        <v>0</v>
      </c>
      <c r="R105" s="851"/>
      <c r="S105" s="852"/>
      <c r="T105" s="626"/>
      <c r="V105" s="986"/>
      <c r="W105" s="988"/>
      <c r="X105" s="988"/>
      <c r="Y105" s="988"/>
      <c r="Z105" s="988"/>
      <c r="AA105" s="988"/>
      <c r="AB105" s="988"/>
      <c r="AC105" s="988"/>
      <c r="AD105" s="988"/>
      <c r="AE105" s="988"/>
      <c r="AF105" s="988"/>
      <c r="AG105" s="988"/>
      <c r="AH105" s="988"/>
      <c r="AI105" s="989"/>
    </row>
    <row r="106" spans="2:35" ht="22.5" customHeight="1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1"/>
      <c r="Q106" s="1002">
        <f t="shared" si="4"/>
        <v>0</v>
      </c>
      <c r="R106" s="853"/>
      <c r="S106" s="854"/>
      <c r="T106" s="626"/>
      <c r="V106" s="986"/>
      <c r="W106" s="988"/>
      <c r="X106" s="988"/>
      <c r="Y106" s="988"/>
      <c r="Z106" s="988"/>
      <c r="AA106" s="988"/>
      <c r="AB106" s="988"/>
      <c r="AC106" s="988"/>
      <c r="AD106" s="988"/>
      <c r="AE106" s="988"/>
      <c r="AF106" s="988"/>
      <c r="AG106" s="988"/>
      <c r="AH106" s="988"/>
      <c r="AI106" s="989"/>
    </row>
    <row r="107" spans="2:35" ht="22.5" customHeight="1" thickBot="1">
      <c r="B107" s="638"/>
      <c r="C107" s="616"/>
      <c r="D107" s="616"/>
      <c r="E107" s="980"/>
      <c r="F107" s="980"/>
      <c r="G107" s="980"/>
      <c r="H107" s="1469" t="s">
        <v>471</v>
      </c>
      <c r="I107" s="1470"/>
      <c r="J107" s="1471"/>
      <c r="K107" s="1003">
        <f aca="true" t="shared" si="5" ref="K107:S107">SUM(K82:K106)</f>
        <v>0</v>
      </c>
      <c r="L107" s="1004">
        <f t="shared" si="5"/>
        <v>5178.12</v>
      </c>
      <c r="M107" s="1005">
        <f t="shared" si="5"/>
        <v>0</v>
      </c>
      <c r="N107" s="1005">
        <f t="shared" si="5"/>
        <v>0</v>
      </c>
      <c r="O107" s="1003">
        <f t="shared" si="5"/>
        <v>0</v>
      </c>
      <c r="P107" s="1003">
        <f t="shared" si="5"/>
        <v>0</v>
      </c>
      <c r="Q107" s="1006">
        <f t="shared" si="5"/>
        <v>5178.12</v>
      </c>
      <c r="R107" s="1005">
        <f t="shared" si="5"/>
        <v>5178.12</v>
      </c>
      <c r="S107" s="674">
        <f t="shared" si="5"/>
        <v>0</v>
      </c>
      <c r="T107" s="626"/>
      <c r="V107" s="986"/>
      <c r="W107" s="988"/>
      <c r="X107" s="988"/>
      <c r="Y107" s="988"/>
      <c r="Z107" s="988"/>
      <c r="AA107" s="988"/>
      <c r="AB107" s="988"/>
      <c r="AC107" s="988"/>
      <c r="AD107" s="988"/>
      <c r="AE107" s="988"/>
      <c r="AF107" s="988"/>
      <c r="AG107" s="988"/>
      <c r="AH107" s="988"/>
      <c r="AI107" s="989"/>
    </row>
    <row r="108" spans="2:35" ht="22.5" customHeight="1">
      <c r="B108" s="638"/>
      <c r="C108" s="616"/>
      <c r="D108" s="616"/>
      <c r="E108" s="980"/>
      <c r="F108" s="980"/>
      <c r="G108" s="980"/>
      <c r="H108" s="1008"/>
      <c r="I108" s="1008"/>
      <c r="J108" s="1008"/>
      <c r="K108" s="980"/>
      <c r="L108" s="980"/>
      <c r="M108" s="980"/>
      <c r="N108" s="980"/>
      <c r="O108" s="980"/>
      <c r="P108" s="980"/>
      <c r="Q108" s="980"/>
      <c r="R108" s="980"/>
      <c r="S108" s="980"/>
      <c r="T108" s="626"/>
      <c r="V108" s="986"/>
      <c r="W108" s="988"/>
      <c r="X108" s="988"/>
      <c r="Y108" s="988"/>
      <c r="Z108" s="988"/>
      <c r="AA108" s="988"/>
      <c r="AB108" s="988"/>
      <c r="AC108" s="988"/>
      <c r="AD108" s="988"/>
      <c r="AE108" s="988"/>
      <c r="AF108" s="988"/>
      <c r="AG108" s="988"/>
      <c r="AH108" s="988"/>
      <c r="AI108" s="989"/>
    </row>
    <row r="109" spans="2:35" ht="22.5" customHeight="1">
      <c r="B109" s="638"/>
      <c r="C109" s="616"/>
      <c r="D109" s="616"/>
      <c r="E109" s="980"/>
      <c r="F109" s="980"/>
      <c r="G109" s="980"/>
      <c r="H109" s="1008"/>
      <c r="I109" s="1008"/>
      <c r="J109" s="1008"/>
      <c r="K109" s="980"/>
      <c r="L109" s="980"/>
      <c r="M109" s="980"/>
      <c r="N109" s="980"/>
      <c r="O109" s="980"/>
      <c r="P109" s="980"/>
      <c r="Q109" s="980"/>
      <c r="R109" s="980"/>
      <c r="S109" s="980"/>
      <c r="T109" s="626"/>
      <c r="V109" s="986"/>
      <c r="W109" s="988"/>
      <c r="X109" s="988"/>
      <c r="Y109" s="988"/>
      <c r="Z109" s="988"/>
      <c r="AA109" s="988"/>
      <c r="AB109" s="988"/>
      <c r="AC109" s="988"/>
      <c r="AD109" s="988"/>
      <c r="AE109" s="988"/>
      <c r="AF109" s="988"/>
      <c r="AG109" s="988"/>
      <c r="AH109" s="988"/>
      <c r="AI109" s="989"/>
    </row>
    <row r="110" spans="2:35" s="1015" customFormat="1" ht="18" customHeight="1">
      <c r="B110" s="1010"/>
      <c r="C110" s="769" t="s">
        <v>405</v>
      </c>
      <c r="D110" s="1011"/>
      <c r="E110" s="1012"/>
      <c r="F110" s="1012"/>
      <c r="G110" s="1012"/>
      <c r="H110" s="1012"/>
      <c r="I110" s="1012"/>
      <c r="J110" s="1012"/>
      <c r="K110" s="1012"/>
      <c r="L110" s="1012"/>
      <c r="M110" s="1012"/>
      <c r="N110" s="1013"/>
      <c r="O110" s="1013"/>
      <c r="P110" s="1013"/>
      <c r="Q110" s="1013"/>
      <c r="R110" s="1013"/>
      <c r="S110" s="1013"/>
      <c r="T110" s="1014"/>
      <c r="V110" s="1016"/>
      <c r="W110" s="1017"/>
      <c r="X110" s="1017"/>
      <c r="Y110" s="1017"/>
      <c r="Z110" s="1017"/>
      <c r="AA110" s="1017"/>
      <c r="AB110" s="1017"/>
      <c r="AC110" s="1017"/>
      <c r="AD110" s="1017"/>
      <c r="AE110" s="1017"/>
      <c r="AF110" s="1017"/>
      <c r="AG110" s="1017"/>
      <c r="AH110" s="1017"/>
      <c r="AI110" s="1018"/>
    </row>
    <row r="111" spans="2:35" s="1015" customFormat="1" ht="18" customHeight="1">
      <c r="B111" s="1010"/>
      <c r="C111" s="1011" t="s">
        <v>947</v>
      </c>
      <c r="D111" s="1011"/>
      <c r="E111" s="1012"/>
      <c r="F111" s="1012"/>
      <c r="G111" s="1012"/>
      <c r="H111" s="1012"/>
      <c r="I111" s="1012"/>
      <c r="J111" s="1012"/>
      <c r="K111" s="1012"/>
      <c r="L111" s="1012"/>
      <c r="M111" s="1012"/>
      <c r="N111" s="1013"/>
      <c r="O111" s="1013"/>
      <c r="P111" s="1013"/>
      <c r="Q111" s="1013"/>
      <c r="R111" s="1013"/>
      <c r="S111" s="1013"/>
      <c r="T111" s="1014"/>
      <c r="V111" s="1016"/>
      <c r="W111" s="1017"/>
      <c r="X111" s="1017"/>
      <c r="Y111" s="1017"/>
      <c r="Z111" s="1017"/>
      <c r="AA111" s="1017"/>
      <c r="AB111" s="1017"/>
      <c r="AC111" s="1017"/>
      <c r="AD111" s="1017"/>
      <c r="AE111" s="1017"/>
      <c r="AF111" s="1017"/>
      <c r="AG111" s="1017"/>
      <c r="AH111" s="1017"/>
      <c r="AI111" s="1018"/>
    </row>
    <row r="112" spans="2:35" s="1015" customFormat="1" ht="18" customHeight="1">
      <c r="B112" s="1010"/>
      <c r="C112" s="1011" t="s">
        <v>946</v>
      </c>
      <c r="D112" s="1011"/>
      <c r="E112" s="1012"/>
      <c r="F112" s="1012"/>
      <c r="G112" s="1012"/>
      <c r="H112" s="1012"/>
      <c r="I112" s="1012"/>
      <c r="J112" s="1012"/>
      <c r="K112" s="1012"/>
      <c r="L112" s="1012"/>
      <c r="M112" s="1012"/>
      <c r="N112" s="1013"/>
      <c r="O112" s="1013"/>
      <c r="P112" s="1013"/>
      <c r="Q112" s="1013"/>
      <c r="R112" s="1013"/>
      <c r="S112" s="1013"/>
      <c r="T112" s="1014"/>
      <c r="V112" s="1016"/>
      <c r="W112" s="1017"/>
      <c r="X112" s="1017"/>
      <c r="Y112" s="1017"/>
      <c r="Z112" s="1017"/>
      <c r="AA112" s="1017"/>
      <c r="AB112" s="1017"/>
      <c r="AC112" s="1017"/>
      <c r="AD112" s="1017"/>
      <c r="AE112" s="1017"/>
      <c r="AF112" s="1017"/>
      <c r="AG112" s="1017"/>
      <c r="AH112" s="1017"/>
      <c r="AI112" s="1018"/>
    </row>
    <row r="113" spans="2:35" s="1015" customFormat="1" ht="18" customHeight="1">
      <c r="B113" s="1010"/>
      <c r="C113" s="1011" t="s">
        <v>762</v>
      </c>
      <c r="D113" s="1011"/>
      <c r="E113" s="1012"/>
      <c r="F113" s="1012"/>
      <c r="G113" s="1012"/>
      <c r="H113" s="1012"/>
      <c r="I113" s="1012"/>
      <c r="J113" s="1012"/>
      <c r="K113" s="1012"/>
      <c r="L113" s="1012"/>
      <c r="M113" s="1012"/>
      <c r="N113" s="1013"/>
      <c r="O113" s="1013"/>
      <c r="P113" s="1013"/>
      <c r="Q113" s="1013"/>
      <c r="R113" s="1013"/>
      <c r="S113" s="1013"/>
      <c r="T113" s="1014"/>
      <c r="V113" s="1016"/>
      <c r="W113" s="1017"/>
      <c r="X113" s="1017"/>
      <c r="Y113" s="1017"/>
      <c r="Z113" s="1017"/>
      <c r="AA113" s="1017"/>
      <c r="AB113" s="1017"/>
      <c r="AC113" s="1017"/>
      <c r="AD113" s="1017"/>
      <c r="AE113" s="1017"/>
      <c r="AF113" s="1017"/>
      <c r="AG113" s="1017"/>
      <c r="AH113" s="1017"/>
      <c r="AI113" s="1018"/>
    </row>
    <row r="114" spans="2:35" s="1015" customFormat="1" ht="18" customHeight="1">
      <c r="B114" s="1010"/>
      <c r="C114" s="1019" t="s">
        <v>747</v>
      </c>
      <c r="D114" s="1011"/>
      <c r="E114" s="1012"/>
      <c r="F114" s="1012"/>
      <c r="G114" s="1012"/>
      <c r="H114" s="1012"/>
      <c r="I114" s="1012"/>
      <c r="J114" s="1012"/>
      <c r="K114" s="1012"/>
      <c r="L114" s="1012"/>
      <c r="M114" s="1012"/>
      <c r="N114" s="1013"/>
      <c r="O114" s="1013"/>
      <c r="P114" s="1013"/>
      <c r="Q114" s="1013"/>
      <c r="R114" s="1013"/>
      <c r="S114" s="1013"/>
      <c r="T114" s="1014"/>
      <c r="V114" s="1016"/>
      <c r="W114" s="1017"/>
      <c r="X114" s="1017"/>
      <c r="Y114" s="1017"/>
      <c r="Z114" s="1017"/>
      <c r="AA114" s="1017"/>
      <c r="AB114" s="1017"/>
      <c r="AC114" s="1017"/>
      <c r="AD114" s="1017"/>
      <c r="AE114" s="1017"/>
      <c r="AF114" s="1017"/>
      <c r="AG114" s="1017"/>
      <c r="AH114" s="1017"/>
      <c r="AI114" s="1018"/>
    </row>
    <row r="115" spans="2:35" s="1015" customFormat="1" ht="18" customHeight="1">
      <c r="B115" s="1010"/>
      <c r="C115" s="1019" t="s">
        <v>993</v>
      </c>
      <c r="D115" s="1011"/>
      <c r="E115" s="1012"/>
      <c r="F115" s="1012"/>
      <c r="G115" s="1012"/>
      <c r="H115" s="1012"/>
      <c r="I115" s="1012"/>
      <c r="J115" s="1012"/>
      <c r="K115" s="1012"/>
      <c r="L115" s="1012"/>
      <c r="M115" s="1012"/>
      <c r="N115" s="1013"/>
      <c r="O115" s="1013"/>
      <c r="P115" s="1013"/>
      <c r="Q115" s="1013"/>
      <c r="R115" s="1013"/>
      <c r="S115" s="1013"/>
      <c r="T115" s="1014"/>
      <c r="V115" s="1016"/>
      <c r="W115" s="1017"/>
      <c r="X115" s="1017"/>
      <c r="Y115" s="1017"/>
      <c r="Z115" s="1017"/>
      <c r="AA115" s="1017"/>
      <c r="AB115" s="1017"/>
      <c r="AC115" s="1017"/>
      <c r="AD115" s="1017"/>
      <c r="AE115" s="1017"/>
      <c r="AF115" s="1017"/>
      <c r="AG115" s="1017"/>
      <c r="AH115" s="1017"/>
      <c r="AI115" s="1018"/>
    </row>
    <row r="116" spans="2:35" s="1015" customFormat="1" ht="18" customHeight="1">
      <c r="B116" s="1010"/>
      <c r="C116" s="1015" t="s">
        <v>994</v>
      </c>
      <c r="D116" s="1011"/>
      <c r="E116" s="1012"/>
      <c r="F116" s="1012"/>
      <c r="G116" s="1012"/>
      <c r="H116" s="1012"/>
      <c r="I116" s="1012"/>
      <c r="J116" s="1012"/>
      <c r="K116" s="1012"/>
      <c r="L116" s="1012"/>
      <c r="M116" s="1012"/>
      <c r="N116" s="1013"/>
      <c r="O116" s="1013"/>
      <c r="P116" s="1013"/>
      <c r="Q116" s="1013"/>
      <c r="R116" s="1013"/>
      <c r="S116" s="1013"/>
      <c r="T116" s="1014"/>
      <c r="V116" s="1016"/>
      <c r="W116" s="1017"/>
      <c r="X116" s="1017"/>
      <c r="Y116" s="1017"/>
      <c r="Z116" s="1017"/>
      <c r="AA116" s="1017"/>
      <c r="AB116" s="1017"/>
      <c r="AC116" s="1017"/>
      <c r="AD116" s="1017"/>
      <c r="AE116" s="1017"/>
      <c r="AF116" s="1017"/>
      <c r="AG116" s="1017"/>
      <c r="AH116" s="1017"/>
      <c r="AI116" s="1018"/>
    </row>
    <row r="117" spans="2:35" s="1015" customFormat="1" ht="18" customHeight="1">
      <c r="B117" s="1010"/>
      <c r="C117" s="1020" t="s">
        <v>995</v>
      </c>
      <c r="D117" s="1011"/>
      <c r="E117" s="1021"/>
      <c r="F117" s="1021"/>
      <c r="G117" s="1021"/>
      <c r="H117" s="1021"/>
      <c r="I117" s="1021"/>
      <c r="J117" s="1021"/>
      <c r="K117" s="1021"/>
      <c r="L117" s="1021"/>
      <c r="M117" s="1021"/>
      <c r="N117" s="1013"/>
      <c r="O117" s="1013"/>
      <c r="P117" s="1013"/>
      <c r="Q117" s="1013"/>
      <c r="R117" s="1013"/>
      <c r="S117" s="1013"/>
      <c r="T117" s="1014"/>
      <c r="V117" s="1016"/>
      <c r="W117" s="1017"/>
      <c r="X117" s="1017"/>
      <c r="Y117" s="1017"/>
      <c r="Z117" s="1017"/>
      <c r="AA117" s="1017"/>
      <c r="AB117" s="1017"/>
      <c r="AC117" s="1017"/>
      <c r="AD117" s="1017"/>
      <c r="AE117" s="1017"/>
      <c r="AF117" s="1017"/>
      <c r="AG117" s="1017"/>
      <c r="AH117" s="1017"/>
      <c r="AI117" s="1018"/>
    </row>
    <row r="118" spans="2:35" s="1015" customFormat="1" ht="18" customHeight="1">
      <c r="B118" s="1010"/>
      <c r="C118" s="1020" t="s">
        <v>996</v>
      </c>
      <c r="D118" s="1011"/>
      <c r="E118" s="1021"/>
      <c r="F118" s="1021"/>
      <c r="G118" s="1021"/>
      <c r="H118" s="1021"/>
      <c r="I118" s="1021"/>
      <c r="J118" s="1021"/>
      <c r="K118" s="1021"/>
      <c r="L118" s="1021"/>
      <c r="M118" s="1021"/>
      <c r="N118" s="1013"/>
      <c r="O118" s="1013"/>
      <c r="P118" s="1013"/>
      <c r="Q118" s="1013"/>
      <c r="R118" s="1013"/>
      <c r="S118" s="1013"/>
      <c r="T118" s="1014"/>
      <c r="V118" s="1016"/>
      <c r="W118" s="1017"/>
      <c r="X118" s="1017"/>
      <c r="Y118" s="1017"/>
      <c r="Z118" s="1017"/>
      <c r="AA118" s="1017"/>
      <c r="AB118" s="1017"/>
      <c r="AC118" s="1017"/>
      <c r="AD118" s="1017"/>
      <c r="AE118" s="1017"/>
      <c r="AF118" s="1017"/>
      <c r="AG118" s="1017"/>
      <c r="AH118" s="1017"/>
      <c r="AI118" s="1018"/>
    </row>
    <row r="119" spans="2:35" s="1015" customFormat="1" ht="18" customHeight="1">
      <c r="B119" s="1010"/>
      <c r="C119" s="1020" t="s">
        <v>997</v>
      </c>
      <c r="D119" s="1011"/>
      <c r="E119" s="1021"/>
      <c r="F119" s="1021"/>
      <c r="G119" s="1021"/>
      <c r="H119" s="1021"/>
      <c r="I119" s="1021"/>
      <c r="J119" s="1021"/>
      <c r="K119" s="1021"/>
      <c r="L119" s="1021"/>
      <c r="M119" s="1021"/>
      <c r="N119" s="1013"/>
      <c r="O119" s="1013"/>
      <c r="P119" s="1013"/>
      <c r="Q119" s="1013"/>
      <c r="R119" s="1013"/>
      <c r="S119" s="1013"/>
      <c r="T119" s="1014"/>
      <c r="V119" s="1016"/>
      <c r="W119" s="1017"/>
      <c r="X119" s="1017"/>
      <c r="Y119" s="1017"/>
      <c r="Z119" s="1017"/>
      <c r="AA119" s="1017"/>
      <c r="AB119" s="1017"/>
      <c r="AC119" s="1017"/>
      <c r="AD119" s="1017"/>
      <c r="AE119" s="1017"/>
      <c r="AF119" s="1017"/>
      <c r="AG119" s="1017"/>
      <c r="AH119" s="1017"/>
      <c r="AI119" s="1018"/>
    </row>
    <row r="120" spans="2:35" ht="22.5" customHeight="1" thickBot="1">
      <c r="B120" s="697"/>
      <c r="C120" s="1351"/>
      <c r="D120" s="1351"/>
      <c r="E120" s="956"/>
      <c r="F120" s="956"/>
      <c r="G120" s="956"/>
      <c r="H120" s="956"/>
      <c r="I120" s="956"/>
      <c r="J120" s="956"/>
      <c r="K120" s="956"/>
      <c r="L120" s="956"/>
      <c r="M120" s="956"/>
      <c r="N120" s="956"/>
      <c r="O120" s="956"/>
      <c r="P120" s="956"/>
      <c r="Q120" s="956"/>
      <c r="R120" s="956"/>
      <c r="S120" s="956"/>
      <c r="T120" s="699"/>
      <c r="V120" s="1022"/>
      <c r="W120" s="1023"/>
      <c r="X120" s="1023"/>
      <c r="Y120" s="1023"/>
      <c r="Z120" s="1023"/>
      <c r="AA120" s="1023"/>
      <c r="AB120" s="1023"/>
      <c r="AC120" s="1023"/>
      <c r="AD120" s="1023"/>
      <c r="AE120" s="1023"/>
      <c r="AF120" s="1023"/>
      <c r="AG120" s="1023"/>
      <c r="AH120" s="1023"/>
      <c r="AI120" s="1024"/>
    </row>
    <row r="121" spans="3:21" ht="22.5" customHeight="1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936</v>
      </c>
    </row>
    <row r="122" spans="3:19" ht="12.7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5" t="s">
        <v>55</v>
      </c>
    </row>
    <row r="123" spans="3:18" ht="12.7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9" ht="12.7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3:19" ht="12.7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3:19" ht="12.7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3:19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3:19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2.5" customHeight="1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5:19" ht="22.5" customHeight="1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8">
      <selection activeCell="D2" sqref="D2:D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4.4453125" style="96" customWidth="1"/>
    <col min="5" max="5" width="26.77734375" style="97" customWidth="1"/>
    <col min="6" max="9" width="13.445312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44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44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58" t="str">
        <f>Entidad</f>
        <v>INSTITUTO VOLCANOLOGICO DE CANARIAS SAU</v>
      </c>
      <c r="E9" s="1358"/>
      <c r="F9" s="1358"/>
      <c r="G9" s="1358"/>
      <c r="H9" s="1358"/>
      <c r="I9" s="1358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29"/>
      <c r="D12" s="1429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72" t="s">
        <v>449</v>
      </c>
      <c r="H13" s="1473"/>
      <c r="I13" s="1474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75" t="s">
        <v>443</v>
      </c>
      <c r="D15" s="1476"/>
      <c r="E15" s="1477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78"/>
      <c r="D25" s="1478"/>
      <c r="E25" s="1478"/>
      <c r="F25" s="1478"/>
      <c r="G25" s="1478"/>
      <c r="H25" s="1478"/>
      <c r="I25" s="1478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78"/>
      <c r="D29" s="1478"/>
      <c r="E29" s="1478"/>
      <c r="F29" s="1478"/>
      <c r="G29" s="1478"/>
      <c r="H29" s="1478"/>
      <c r="I29" s="1478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57"/>
      <c r="D36" s="1357"/>
      <c r="E36" s="1357"/>
      <c r="F36" s="1357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125" workbookViewId="0" topLeftCell="C1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44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44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58" t="str">
        <f>Entidad</f>
        <v>INSTITUTO VOLCANOLOGICO DE CANARIAS SAU</v>
      </c>
      <c r="E9" s="1358"/>
      <c r="F9" s="1358"/>
      <c r="G9" s="1358"/>
      <c r="H9" s="1358"/>
      <c r="I9" s="1358"/>
      <c r="J9" s="1358"/>
      <c r="K9" s="1358"/>
      <c r="L9" s="1358"/>
      <c r="M9" s="1358"/>
      <c r="N9" s="1358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29"/>
      <c r="D12" s="1429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79" t="s">
        <v>461</v>
      </c>
      <c r="F13" s="1480"/>
      <c r="G13" s="1480"/>
      <c r="H13" s="1480"/>
      <c r="I13" s="1480"/>
      <c r="J13" s="1480"/>
      <c r="K13" s="1480"/>
      <c r="L13" s="1480"/>
      <c r="M13" s="1480"/>
      <c r="N13" s="1481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75" t="s">
        <v>443</v>
      </c>
      <c r="D14" s="1476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8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57"/>
      <c r="D24" s="1357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1C1FF"/>
    <pageSetUpPr fitToPage="1"/>
  </sheetPr>
  <dimension ref="A2:Z76"/>
  <sheetViews>
    <sheetView zoomScalePageLayoutView="0" workbookViewId="0" topLeftCell="A22">
      <selection activeCell="J49" sqref="J4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5.21484375" style="96" customWidth="1"/>
    <col min="4" max="4" width="18.777343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44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44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58" t="str">
        <f>Entidad</f>
        <v>INSTITUTO VOLCANOLOGICO DE CANARIAS SAU</v>
      </c>
      <c r="F9" s="1358"/>
      <c r="G9" s="1358"/>
      <c r="H9" s="1358"/>
      <c r="I9" s="1358"/>
      <c r="J9" s="1358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29"/>
      <c r="D12" s="1429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26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590295.87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17" t="s">
        <v>503</v>
      </c>
      <c r="G36" s="1418"/>
      <c r="H36" s="1418"/>
      <c r="I36" s="1418"/>
      <c r="J36" s="1419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61" t="s">
        <v>485</v>
      </c>
      <c r="D37" s="1462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41" t="s">
        <v>61</v>
      </c>
      <c r="D38" s="1442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 aca="true" t="shared" si="0" ref="J39:J44"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/>
      <c r="F40" s="581"/>
      <c r="G40" s="581"/>
      <c r="H40" s="581"/>
      <c r="I40" s="581"/>
      <c r="J40" s="591">
        <f t="shared" si="0"/>
        <v>0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/>
      <c r="F41" s="581"/>
      <c r="G41" s="581"/>
      <c r="H41" s="581"/>
      <c r="I41" s="581"/>
      <c r="J41" s="591">
        <f t="shared" si="0"/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>
        <v>3</v>
      </c>
      <c r="F42" s="581">
        <v>44635.8</v>
      </c>
      <c r="G42" s="581">
        <v>212.83</v>
      </c>
      <c r="H42" s="581"/>
      <c r="I42" s="581">
        <v>15156</v>
      </c>
      <c r="J42" s="591">
        <f t="shared" si="0"/>
        <v>60004.630000000005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>
        <v>23</v>
      </c>
      <c r="F43" s="581">
        <v>317292.4</v>
      </c>
      <c r="G43" s="581">
        <v>1509.54</v>
      </c>
      <c r="H43" s="581"/>
      <c r="I43" s="581">
        <v>76090.55</v>
      </c>
      <c r="J43" s="591">
        <f t="shared" si="0"/>
        <v>394892.49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 t="shared" si="0"/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82" t="s">
        <v>505</v>
      </c>
      <c r="D45" s="1483"/>
      <c r="E45" s="272">
        <f aca="true" t="shared" si="1" ref="E45:J45">SUM(E39:E44)</f>
        <v>26</v>
      </c>
      <c r="F45" s="272">
        <f t="shared" si="1"/>
        <v>361928.2</v>
      </c>
      <c r="G45" s="272">
        <f t="shared" si="1"/>
        <v>1722.37</v>
      </c>
      <c r="H45" s="272">
        <f t="shared" si="1"/>
        <v>0</v>
      </c>
      <c r="I45" s="272">
        <f t="shared" si="1"/>
        <v>91246.55</v>
      </c>
      <c r="J45" s="272">
        <f t="shared" si="1"/>
        <v>454897.12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17" t="s">
        <v>443</v>
      </c>
      <c r="D50" s="1418"/>
      <c r="E50" s="1484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/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>
        <v>135398.75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82" t="s">
        <v>505</v>
      </c>
      <c r="D53" s="1485"/>
      <c r="E53" s="273"/>
      <c r="F53" s="272">
        <f>SUM(F51:F52)</f>
        <v>135398.75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5"/>
      <c r="D61" s="905"/>
      <c r="E61" s="905"/>
      <c r="F61" s="905"/>
      <c r="G61" s="905"/>
      <c r="H61" s="905"/>
      <c r="I61" s="905"/>
      <c r="J61" s="905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6" t="s">
        <v>783</v>
      </c>
      <c r="D62" s="905"/>
      <c r="E62" s="905"/>
      <c r="F62" s="905"/>
      <c r="G62" s="905"/>
      <c r="H62" s="905"/>
      <c r="I62" s="905"/>
      <c r="J62" s="905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7" t="s">
        <v>807</v>
      </c>
      <c r="D63" s="905"/>
      <c r="E63" s="905"/>
      <c r="F63" s="905"/>
      <c r="G63" s="905"/>
      <c r="H63" s="905"/>
      <c r="I63" s="905"/>
      <c r="J63" s="905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5"/>
      <c r="D64" s="905"/>
      <c r="E64" s="905"/>
      <c r="F64" s="905"/>
      <c r="G64" s="905"/>
      <c r="H64" s="905"/>
      <c r="I64" s="905"/>
      <c r="J64" s="905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57"/>
      <c r="E65" s="1357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1C1FF"/>
    <pageSetUpPr fitToPage="1"/>
  </sheetPr>
  <dimension ref="A2:X86"/>
  <sheetViews>
    <sheetView zoomScalePageLayoutView="0" workbookViewId="0" topLeftCell="A10">
      <selection activeCell="G37" sqref="G37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66.21484375" style="96" customWidth="1"/>
    <col min="5" max="5" width="14.21484375" style="97" customWidth="1"/>
    <col min="6" max="6" width="2.77734375" style="97" customWidth="1"/>
    <col min="7" max="7" width="79.21484375" style="97" customWidth="1"/>
    <col min="8" max="8" width="14.21484375" style="97" customWidth="1"/>
    <col min="9" max="9" width="3.21484375" style="96" customWidth="1"/>
    <col min="10" max="16384" width="10.77734375" style="96" customWidth="1"/>
  </cols>
  <sheetData>
    <row r="2" ht="22.5" customHeight="1">
      <c r="D2" s="1247" t="s">
        <v>1002</v>
      </c>
    </row>
    <row r="3" ht="22.5" customHeight="1">
      <c r="D3" s="1247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44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44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58" t="str">
        <f>Entidad</f>
        <v>INSTITUTO VOLCANOLOGICO DE CANARIAS SAU</v>
      </c>
      <c r="E9" s="1358"/>
      <c r="F9" s="1358"/>
      <c r="G9" s="1358"/>
      <c r="H9" s="1358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29"/>
      <c r="D12" s="1429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88" t="s">
        <v>513</v>
      </c>
      <c r="D13" s="1489"/>
      <c r="E13" s="1489"/>
      <c r="F13" s="1489"/>
      <c r="G13" s="1489"/>
      <c r="H13" s="1490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17" t="s">
        <v>516</v>
      </c>
      <c r="D15" s="1418"/>
      <c r="E15" s="1419"/>
      <c r="F15" s="151"/>
      <c r="G15" s="1417" t="s">
        <v>517</v>
      </c>
      <c r="H15" s="1419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17" t="s">
        <v>434</v>
      </c>
      <c r="D16" s="1419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>
        <v>37324</v>
      </c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>
        <v>7000</v>
      </c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86" t="s">
        <v>471</v>
      </c>
      <c r="D56" s="1487"/>
      <c r="E56" s="175">
        <f>SUM(E17:E55)</f>
        <v>7000</v>
      </c>
      <c r="F56" s="151"/>
      <c r="G56" s="220" t="s">
        <v>471</v>
      </c>
      <c r="H56" s="175">
        <f>SUM(H17:H55)</f>
        <v>37324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88" t="s">
        <v>778</v>
      </c>
      <c r="D58" s="1489"/>
      <c r="E58" s="1489"/>
      <c r="F58" s="1489"/>
      <c r="G58" s="1489"/>
      <c r="H58" s="1490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88" t="s">
        <v>513</v>
      </c>
      <c r="D60" s="1489"/>
      <c r="E60" s="1489"/>
      <c r="F60" s="1489"/>
      <c r="G60" s="1489"/>
      <c r="H60" s="1490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17" t="s">
        <v>516</v>
      </c>
      <c r="D62" s="1418"/>
      <c r="E62" s="1419"/>
      <c r="F62" s="151"/>
      <c r="G62" s="1417" t="s">
        <v>517</v>
      </c>
      <c r="H62" s="1419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17" t="s">
        <v>434</v>
      </c>
      <c r="D63" s="1419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86" t="s">
        <v>471</v>
      </c>
      <c r="D69" s="1487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57"/>
      <c r="D75" s="1357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73" zoomScaleNormal="73" zoomScalePageLayoutView="0" workbookViewId="0" topLeftCell="A1">
      <pane ySplit="14" topLeftCell="A57" activePane="bottomLeft" state="frozen"/>
      <selection pane="topLeft" activeCell="A1" sqref="A1"/>
      <selection pane="bottomLeft" activeCell="G31" sqref="G31"/>
    </sheetView>
  </sheetViews>
  <sheetFormatPr defaultColWidth="10.77734375" defaultRowHeight="22.5" customHeight="1"/>
  <cols>
    <col min="1" max="1" width="2.99609375" style="280" customWidth="1"/>
    <col min="2" max="2" width="3.21484375" style="280" customWidth="1"/>
    <col min="3" max="3" width="12.21484375" style="280" customWidth="1"/>
    <col min="4" max="4" width="73.77734375" style="280" customWidth="1"/>
    <col min="5" max="5" width="42.4453125" style="280" customWidth="1"/>
    <col min="6" max="7" width="39.21484375" style="280" customWidth="1"/>
    <col min="8" max="8" width="3.5546875" style="280" customWidth="1"/>
    <col min="9" max="9" width="10.77734375" style="280" customWidth="1"/>
    <col min="10" max="12" width="4.21484375" style="280" customWidth="1"/>
    <col min="13" max="13" width="11.55468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1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44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44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49" t="str">
        <f>Entidad</f>
        <v>INSTITUTO VOLCANOLOGICO DE CANARIAS SAU</v>
      </c>
      <c r="E9" s="1349"/>
      <c r="F9" s="1349"/>
      <c r="G9" s="1349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9" t="s">
        <v>775</v>
      </c>
      <c r="D11" s="880"/>
      <c r="E11" s="880"/>
      <c r="F11" s="880"/>
      <c r="G11" s="880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5" t="s">
        <v>744</v>
      </c>
      <c r="F13" s="855" t="s">
        <v>743</v>
      </c>
      <c r="G13" s="855" t="s">
        <v>745</v>
      </c>
      <c r="H13" s="365"/>
    </row>
    <row r="14" spans="2:8" ht="22.5" customHeight="1">
      <c r="B14" s="364"/>
      <c r="D14" s="361"/>
      <c r="E14" s="856">
        <f>ejercicio-2</f>
        <v>2018</v>
      </c>
      <c r="F14" s="856">
        <f>ejercicio-1</f>
        <v>2019</v>
      </c>
      <c r="G14" s="856">
        <f>ejercicio</f>
        <v>2020</v>
      </c>
      <c r="H14" s="365"/>
    </row>
    <row r="15" spans="2:13" s="861" customFormat="1" ht="30" customHeight="1">
      <c r="B15" s="857"/>
      <c r="C15" s="858" t="s">
        <v>647</v>
      </c>
      <c r="D15" s="858"/>
      <c r="E15" s="859" t="str">
        <f>IF(ROUND('FC-4_ACTIVO'!E94-'FC-4_PASIVO'!E86,2)=0,"Ok","Mal, revisa FC-4")</f>
        <v>Ok</v>
      </c>
      <c r="F15" s="859" t="str">
        <f>IF(ROUND('FC-4_ACTIVO'!F94-'FC-4_PASIVO'!F86,2)=0,"Ok","Mal, revisa FC-4")</f>
        <v>Ok</v>
      </c>
      <c r="G15" s="859" t="str">
        <f>IF(ROUND('FC-4_ACTIVO'!G94-'FC-4_PASIVO'!G86,2)=0,"Ok","Mal, revisa FC-4")</f>
        <v>Ok</v>
      </c>
      <c r="H15" s="860"/>
      <c r="J15" s="862">
        <f>IF(E15="Ok",0,1)</f>
        <v>0</v>
      </c>
      <c r="K15" s="862">
        <f>IF(F15="Ok",0,1)</f>
        <v>0</v>
      </c>
      <c r="L15" s="862">
        <f>IF(G15="Ok",0,1)</f>
        <v>0</v>
      </c>
      <c r="M15" s="862">
        <f aca="true" t="shared" si="0" ref="M15:M21">SUM(J15:L15)</f>
        <v>0</v>
      </c>
    </row>
    <row r="16" spans="2:13" s="861" customFormat="1" ht="30" customHeight="1">
      <c r="B16" s="857"/>
      <c r="C16" s="863" t="s">
        <v>649</v>
      </c>
      <c r="D16" s="863"/>
      <c r="E16" s="864" t="str">
        <f>IF(ROUND(('FC-3_CPyG'!E84-'FC-4_PASIVO'!E32),2)=0,"Ok","Mal, revisa FC-3 y FC-4")</f>
        <v>Ok</v>
      </c>
      <c r="F16" s="864" t="str">
        <f>IF(ROUND(('FC-3_CPyG'!F84-'FC-4_PASIVO'!F32),2)=0,"Ok","Mal, revisa FC-3 y FC-4")</f>
        <v>Ok</v>
      </c>
      <c r="G16" s="864" t="str">
        <f>IF(ROUND(('FC-3_CPyG'!G84-'FC-4_PASIVO'!G32),2)=0,"Ok","Mal, revisa FC-3 y FC-4")</f>
        <v>Ok</v>
      </c>
      <c r="H16" s="860"/>
      <c r="J16" s="862">
        <f aca="true" t="shared" si="1" ref="J16:J21">IF(E16="Ok",0,1)</f>
        <v>0</v>
      </c>
      <c r="K16" s="862">
        <f aca="true" t="shared" si="2" ref="K16:K21">IF(F16="Ok",0,1)</f>
        <v>0</v>
      </c>
      <c r="L16" s="862">
        <f aca="true" t="shared" si="3" ref="L16:L21">IF(G16="Ok",0,1)</f>
        <v>0</v>
      </c>
      <c r="M16" s="862">
        <f t="shared" si="0"/>
        <v>0</v>
      </c>
    </row>
    <row r="17" spans="2:13" s="861" customFormat="1" ht="30" customHeight="1">
      <c r="B17" s="857"/>
      <c r="C17" s="863" t="s">
        <v>650</v>
      </c>
      <c r="D17" s="863"/>
      <c r="E17" s="864" t="str">
        <f>IF(_GENERAL!D14="Normal",IF(ROUND('FC-5_EFE'!F92,2)=ROUND(('FC-5_EFE'!F95-'FC-5_EFE'!F94),2),"Ok","Mal, revisa FC-5"),"No aplica")</f>
        <v>No aplica</v>
      </c>
      <c r="F17" s="864" t="str">
        <f>IF(_GENERAL!D14="Normal",IF(ROUND('FC-5_EFE'!G92,2)=ROUND(('FC-5_EFE'!G95-'FC-5_EFE'!G94),2),"Ok","Mal, revisa FC-5"),"No aplica")</f>
        <v>No aplica</v>
      </c>
      <c r="G17" s="864" t="str">
        <f>IF(_GENERAL!D14="Normal",IF(ROUND('FC-5_EFE'!H92,2)=ROUND(('FC-5_EFE'!H95-'FC-5_EFE'!H94),2),"Ok","Mal, revisa FC-5"),"No aplica")</f>
        <v>No aplica</v>
      </c>
      <c r="H17" s="860"/>
      <c r="J17" s="862">
        <f t="shared" si="1"/>
        <v>1</v>
      </c>
      <c r="K17" s="862">
        <f t="shared" si="2"/>
        <v>1</v>
      </c>
      <c r="L17" s="862">
        <f t="shared" si="3"/>
        <v>1</v>
      </c>
      <c r="M17" s="862">
        <f t="shared" si="0"/>
        <v>3</v>
      </c>
    </row>
    <row r="18" spans="2:13" s="861" customFormat="1" ht="30" customHeight="1">
      <c r="B18" s="857"/>
      <c r="C18" s="865" t="s">
        <v>710</v>
      </c>
      <c r="D18" s="863"/>
      <c r="E18" s="864" t="str">
        <f>IF(ROUND('FC-3_CPyG'!E16-'FC-3_1_INF_ADIC_CPyG'!E43,2)=0,"Ok","Mal, revisa datos en FC-3 PyG y FC3.1")</f>
        <v>Ok</v>
      </c>
      <c r="F18" s="864" t="str">
        <f>IF(ROUND('FC-3_CPyG'!F16-'FC-3_1_INF_ADIC_CPyG'!H43,2)=0,"Ok","Mal, revisa datos en FC-3 PyG y FC3.1")</f>
        <v>Ok</v>
      </c>
      <c r="G18" s="864" t="str">
        <f>IF(ROUND('FC-3_CPyG'!G16-'FC-3_1_INF_ADIC_CPyG'!K43,2)=0,"Ok","Mal, revisa datos en FC-3 PyG y FC3.1")</f>
        <v>Ok</v>
      </c>
      <c r="H18" s="860"/>
      <c r="J18" s="862">
        <f t="shared" si="1"/>
        <v>0</v>
      </c>
      <c r="K18" s="862">
        <f t="shared" si="2"/>
        <v>0</v>
      </c>
      <c r="L18" s="862">
        <f t="shared" si="3"/>
        <v>0</v>
      </c>
      <c r="M18" s="862">
        <f t="shared" si="0"/>
        <v>0</v>
      </c>
    </row>
    <row r="19" spans="2:13" s="861" customFormat="1" ht="30" customHeight="1">
      <c r="B19" s="857"/>
      <c r="C19" s="865" t="s">
        <v>713</v>
      </c>
      <c r="D19" s="863"/>
      <c r="E19" s="864" t="str">
        <f>IF(ROUND('FC-3_CPyG'!E48-'FC-3_1_INF_ADIC_CPyG'!E47-'FC-3_1_INF_ADIC_CPyG'!E56,2)=0,"Ok","Mal, revisa datos en FC-3 CPYG y FC-3.1")</f>
        <v>Ok</v>
      </c>
      <c r="F19" s="864" t="str">
        <f>IF(ROUND('FC-3_CPyG'!F48-'FC-3_1_INF_ADIC_CPyG'!F47-'FC-3_1_INF_ADIC_CPyG'!F56,2)=0,"Ok","Mal, revisa datos en FC-3 CPYG y FC-3.1")</f>
        <v>Ok</v>
      </c>
      <c r="G19" s="864" t="str">
        <f>IF(ROUND('FC-3_CPyG'!G48-'FC-3_1_INF_ADIC_CPyG'!G47-'FC-3_1_INF_ADIC_CPyG'!G56,2)=0,"Ok","Mal, revisa datos en FC-3 CPYG y FC-3.1")</f>
        <v>Ok</v>
      </c>
      <c r="H19" s="860"/>
      <c r="J19" s="862">
        <f t="shared" si="1"/>
        <v>0</v>
      </c>
      <c r="K19" s="862">
        <f t="shared" si="2"/>
        <v>0</v>
      </c>
      <c r="L19" s="862">
        <f t="shared" si="3"/>
        <v>0</v>
      </c>
      <c r="M19" s="862">
        <f t="shared" si="0"/>
        <v>0</v>
      </c>
    </row>
    <row r="20" spans="2:13" s="861" customFormat="1" ht="30" customHeight="1">
      <c r="B20" s="857"/>
      <c r="C20" s="865" t="s">
        <v>714</v>
      </c>
      <c r="D20" s="863"/>
      <c r="E20" s="864" t="str">
        <f>IF(ROUND('FC-3_CPyG'!E28-'FC-3_1_INF_ADIC_CPyG'!E73,2)=0,"Ok","Mal, revísa datos en FC-3 y FC-3.1")</f>
        <v>Ok</v>
      </c>
      <c r="F20" s="864" t="str">
        <f>IF(ROUND('FC-3_CPyG'!F28-'FC-3_1_INF_ADIC_CPyG'!F73,2)=0,"Ok","Mal, revísa datos en FC-3 y FC-3.1")</f>
        <v>Ok</v>
      </c>
      <c r="G20" s="864" t="str">
        <f>IF(ROUND('FC-3_CPyG'!G28-'FC-3_1_INF_ADIC_CPyG'!G73,2)=0,"Ok","Mal, revísa datos en FC-3 y FC-3.1")</f>
        <v>Ok</v>
      </c>
      <c r="H20" s="860"/>
      <c r="J20" s="862">
        <f t="shared" si="1"/>
        <v>0</v>
      </c>
      <c r="K20" s="862">
        <f t="shared" si="2"/>
        <v>0</v>
      </c>
      <c r="L20" s="862">
        <f t="shared" si="3"/>
        <v>0</v>
      </c>
      <c r="M20" s="862">
        <f t="shared" si="0"/>
        <v>0</v>
      </c>
    </row>
    <row r="21" spans="2:13" s="861" customFormat="1" ht="30" customHeight="1">
      <c r="B21" s="857"/>
      <c r="C21" s="865" t="s">
        <v>715</v>
      </c>
      <c r="D21" s="863"/>
      <c r="E21" s="864" t="str">
        <f>IF(ROUND('FC-3_CPyG'!E29-'FC-3_1_INF_ADIC_CPyG'!E77,2)=0,"Ok","Mal, revisa datos en FC-3 CPyG y FC-3.1")</f>
        <v>Ok</v>
      </c>
      <c r="F21" s="864" t="str">
        <f>IF(ROUND('FC-3_CPyG'!F29-'FC-3_1_INF_ADIC_CPyG'!F77,2)=0,"Ok","Mal, revisa datos en FC-3 CPyG y FC-3.1")</f>
        <v>Ok</v>
      </c>
      <c r="G21" s="864" t="str">
        <f>IF(ROUND('FC-3_CPyG'!G29-'FC-3_1_INF_ADIC_CPyG'!G77,2)=0,"Ok","Mal, revisa datos en FC-3 CPyG y FC-3.1")</f>
        <v>Ok</v>
      </c>
      <c r="H21" s="860"/>
      <c r="J21" s="862">
        <f t="shared" si="1"/>
        <v>0</v>
      </c>
      <c r="K21" s="862">
        <f t="shared" si="2"/>
        <v>0</v>
      </c>
      <c r="L21" s="862">
        <f t="shared" si="3"/>
        <v>0</v>
      </c>
      <c r="M21" s="862">
        <f t="shared" si="0"/>
        <v>0</v>
      </c>
    </row>
    <row r="22" spans="2:13" s="861" customFormat="1" ht="30" customHeight="1">
      <c r="B22" s="857"/>
      <c r="C22" s="910" t="s">
        <v>968</v>
      </c>
      <c r="D22" s="863"/>
      <c r="E22" s="866"/>
      <c r="F22" s="864" t="str">
        <f>IF(ROUND('FC-4_PASIVO'!F18-'FC-4_1_MOV_FP'!L17,2)=0,"Ok","Mal, revisa FC-4 y FC-4.1 MOV. F.P.")</f>
        <v>Ok</v>
      </c>
      <c r="G22" s="864" t="str">
        <f>IF(ROUND('FC-4_PASIVO'!G18-'FC-4_1_MOV_FP'!L39,2)=0,"Ok","Mal, revisa FC-4 y FC-4.1 MOV. F.P.")</f>
        <v>Ok</v>
      </c>
      <c r="H22" s="860"/>
      <c r="J22" s="862"/>
      <c r="K22" s="862"/>
      <c r="L22" s="862"/>
      <c r="M22" s="862"/>
    </row>
    <row r="23" spans="2:13" s="861" customFormat="1" ht="30" customHeight="1">
      <c r="B23" s="857"/>
      <c r="C23" s="910" t="s">
        <v>969</v>
      </c>
      <c r="D23" s="863"/>
      <c r="E23" s="866"/>
      <c r="F23" s="864" t="str">
        <f>IF(ROUND('FC-4_PASIVO'!F21-'FC-4_1_MOV_FP'!L20,2)=0,"Ok","Mal, revisa FC-4 y FC-4.1 MOV. F.P.")</f>
        <v>Ok</v>
      </c>
      <c r="G23" s="864" t="str">
        <f>IF(ROUND('FC-4_PASIVO'!G21-'FC-4_1_MOV_FP'!L42,2)=0,"Ok","Mal, revisa FC-4 y FC-4.1 MOV. F.P.")</f>
        <v>Ok</v>
      </c>
      <c r="H23" s="860"/>
      <c r="J23" s="862"/>
      <c r="K23" s="862"/>
      <c r="L23" s="862"/>
      <c r="M23" s="862"/>
    </row>
    <row r="24" spans="2:13" s="861" customFormat="1" ht="30" customHeight="1">
      <c r="B24" s="857"/>
      <c r="C24" s="910" t="s">
        <v>970</v>
      </c>
      <c r="D24" s="863"/>
      <c r="E24" s="866"/>
      <c r="F24" s="864" t="str">
        <f>IF(ROUND('FC-4_PASIVO'!F22-'FC-4_1_MOV_FP'!L21,2)=0,"Ok","Mal, revisa FC-4 y FC-4.1 MOV. F.P.")</f>
        <v>Ok</v>
      </c>
      <c r="G24" s="864" t="str">
        <f>IF(ROUND('FC-4_PASIVO'!G22-'FC-4_1_MOV_FP'!L43,2)=0,"Ok","Mal, revisa FC-4 y FC-4.1 MOV. F.P.")</f>
        <v>Ok</v>
      </c>
      <c r="H24" s="860"/>
      <c r="J24" s="862"/>
      <c r="K24" s="862"/>
      <c r="L24" s="862"/>
      <c r="M24" s="862"/>
    </row>
    <row r="25" spans="2:13" s="861" customFormat="1" ht="30" customHeight="1">
      <c r="B25" s="857"/>
      <c r="C25" s="910" t="s">
        <v>971</v>
      </c>
      <c r="D25" s="863"/>
      <c r="E25" s="866"/>
      <c r="F25" s="864" t="str">
        <f>IF(ROUND('FC-4_PASIVO'!F27-'FC-4_1_MOV_FP'!L26,2)=0,"Ok","Mal, revisa FC-4 y FC-4.1 MOV. F.P.")</f>
        <v>Ok</v>
      </c>
      <c r="G25" s="864" t="str">
        <f>IF(ROUND('FC-4_PASIVO'!G27-'FC-4_1_MOV_FP'!L48,2)=0,"Ok","Mal, revisa FC-4 y FC-4.1 MOV. F.P.")</f>
        <v>Ok</v>
      </c>
      <c r="H25" s="860"/>
      <c r="J25" s="862"/>
      <c r="K25" s="862"/>
      <c r="L25" s="862"/>
      <c r="M25" s="862"/>
    </row>
    <row r="26" spans="2:13" s="861" customFormat="1" ht="30" customHeight="1">
      <c r="B26" s="857"/>
      <c r="C26" s="910" t="s">
        <v>972</v>
      </c>
      <c r="D26" s="863"/>
      <c r="E26" s="866"/>
      <c r="F26" s="864" t="str">
        <f>IF(ROUND('FC-4_PASIVO'!F28-'FC-4_1_MOV_FP'!L27,2)=0,"Ok","Mal, revisa FC-4 y FC-4.1 MOV. F.P.")</f>
        <v>Ok</v>
      </c>
      <c r="G26" s="864" t="str">
        <f>IF(ROUND('FC-4_PASIVO'!G28-'FC-4_1_MOV_FP'!L49,2)=0,"Ok","Mal, revisa FC-4 y FC-4.1 MOV. F.P.")</f>
        <v>Ok</v>
      </c>
      <c r="H26" s="860"/>
      <c r="J26" s="862"/>
      <c r="K26" s="862"/>
      <c r="L26" s="862"/>
      <c r="M26" s="862"/>
    </row>
    <row r="27" spans="2:13" s="861" customFormat="1" ht="30" customHeight="1">
      <c r="B27" s="857"/>
      <c r="C27" s="910" t="s">
        <v>973</v>
      </c>
      <c r="D27" s="863"/>
      <c r="E27" s="866"/>
      <c r="F27" s="864" t="str">
        <f>IF(ROUND('FC-4_PASIVO'!F31-'FC-4_1_MOV_FP'!L30,2)=0,"Ok","Mal, revisa FC-4 y FC-4.1 MOV. F.P.")</f>
        <v>Ok</v>
      </c>
      <c r="G27" s="864" t="str">
        <f>IF(ROUND('FC-4_PASIVO'!G31-'FC-4_1_MOV_FP'!L52,2)=0,"Ok","Mal, revisa FC-4 y FC-4.1 MOV. F.P.")</f>
        <v>Ok</v>
      </c>
      <c r="H27" s="860"/>
      <c r="J27" s="862"/>
      <c r="K27" s="862"/>
      <c r="L27" s="862"/>
      <c r="M27" s="862"/>
    </row>
    <row r="28" spans="2:13" s="861" customFormat="1" ht="30" customHeight="1">
      <c r="B28" s="857"/>
      <c r="C28" s="910" t="s">
        <v>974</v>
      </c>
      <c r="D28" s="863"/>
      <c r="E28" s="866"/>
      <c r="F28" s="864" t="str">
        <f>IF(ROUND('FC-4_PASIVO'!F32-'FC-4_1_MOV_FP'!L31,2)=0,"Ok","Mal, revisa FC-4 y FC-4.1 MOV. F.P.")</f>
        <v>Ok</v>
      </c>
      <c r="G28" s="864" t="str">
        <f>IF(ROUND('FC-4_PASIVO'!G32-'FC-4_1_MOV_FP'!L53,2)=0,"Ok","Mal, revisa FC-4 y FC-4.1 MOV. F.P.")</f>
        <v>Ok</v>
      </c>
      <c r="H28" s="860"/>
      <c r="J28" s="862"/>
      <c r="K28" s="862"/>
      <c r="L28" s="862"/>
      <c r="M28" s="862"/>
    </row>
    <row r="29" spans="2:13" s="861" customFormat="1" ht="30" customHeight="1">
      <c r="B29" s="857"/>
      <c r="C29" s="910" t="s">
        <v>975</v>
      </c>
      <c r="D29" s="863"/>
      <c r="E29" s="866"/>
      <c r="F29" s="864" t="str">
        <f>IF(ROUND('FC-4_PASIVO'!F33-'FC-4_1_MOV_FP'!L32,2)=0,"Ok","Mal, revisa FC-4 y FC-4.1 MOV. F.P.")</f>
        <v>Ok</v>
      </c>
      <c r="G29" s="864" t="str">
        <f>IF(ROUND('FC-4_PASIVO'!G33-'FC-4_1_MOV_FP'!L54,2)=0,"Ok","Mal, revisa FC-4 y FC-4.1 MOV. F.P.")</f>
        <v>Ok</v>
      </c>
      <c r="H29" s="860"/>
      <c r="J29" s="862"/>
      <c r="K29" s="862"/>
      <c r="L29" s="862"/>
      <c r="M29" s="862"/>
    </row>
    <row r="30" spans="2:13" s="861" customFormat="1" ht="30" customHeight="1">
      <c r="B30" s="857"/>
      <c r="C30" s="910" t="s">
        <v>976</v>
      </c>
      <c r="D30" s="863"/>
      <c r="E30" s="866"/>
      <c r="F30" s="864" t="str">
        <f>IF(ROUND('FC-4_PASIVO'!F34-'FC-4_1_MOV_FP'!L33,2)=0,"Ok","Mal, revisa FC-4 y FC-4.1 MOV. F.P.")</f>
        <v>Ok</v>
      </c>
      <c r="G30" s="864" t="str">
        <f>IF(ROUND('FC-4_PASIVO'!G34-'FC-4_1_MOV_FP'!L55,2)=0,"Ok","Mal, revisa FC-4 y FC-4.1 MOV. F.P.")</f>
        <v>Ok</v>
      </c>
      <c r="H30" s="860"/>
      <c r="J30" s="862"/>
      <c r="K30" s="862"/>
      <c r="L30" s="862"/>
      <c r="M30" s="862"/>
    </row>
    <row r="31" spans="2:13" s="861" customFormat="1" ht="30" customHeight="1">
      <c r="B31" s="857"/>
      <c r="C31" s="910" t="s">
        <v>977</v>
      </c>
      <c r="D31" s="863"/>
      <c r="E31" s="866"/>
      <c r="F31" s="864" t="str">
        <f>IF(ROUND('FC-4_1_MOV_FP'!H30-'FC-9_TRANS_SUBV'!G74,2)=0,"Ok","Mal, revísa FC-4 PASIVO y FC-9")</f>
        <v>Ok</v>
      </c>
      <c r="G31" s="864" t="str">
        <f>IF(ROUND('FC-4_1_MOV_FP'!H52-'FC-9_TRANS_SUBV'!H74,2)=0,"Ok","Mal, revísa FC-4 PASIVO y FC-9")</f>
        <v>Ok</v>
      </c>
      <c r="H31" s="860"/>
      <c r="J31" s="862"/>
      <c r="K31" s="862">
        <f>IF(F31="Ok",0,1)</f>
        <v>0</v>
      </c>
      <c r="L31" s="862">
        <f>IF(G31="Ok",0,1)</f>
        <v>0</v>
      </c>
      <c r="M31" s="862">
        <f aca="true" t="shared" si="4" ref="M31:M37">SUM(J31:L31)</f>
        <v>0</v>
      </c>
    </row>
    <row r="32" spans="2:13" s="861" customFormat="1" ht="30" customHeight="1">
      <c r="B32" s="857"/>
      <c r="C32" s="865" t="s">
        <v>709</v>
      </c>
      <c r="D32" s="863"/>
      <c r="E32" s="866"/>
      <c r="F32" s="866"/>
      <c r="G32" s="864" t="str">
        <f>IF(ROUND('FC-6_Inversiones'!G46-SUM('FC-6_Inversiones'!H46:M46),2)=0,"Ok","Mal, revisa totales FC-6")</f>
        <v>Ok</v>
      </c>
      <c r="H32" s="860"/>
      <c r="J32" s="862"/>
      <c r="K32" s="862"/>
      <c r="L32" s="862">
        <f aca="true" t="shared" si="5" ref="L32:L37">IF(G32="Ok",0,1)</f>
        <v>0</v>
      </c>
      <c r="M32" s="862">
        <f t="shared" si="4"/>
        <v>0</v>
      </c>
    </row>
    <row r="33" spans="2:13" s="861" customFormat="1" ht="30" customHeight="1">
      <c r="B33" s="857"/>
      <c r="C33" s="863" t="s">
        <v>652</v>
      </c>
      <c r="D33" s="863"/>
      <c r="E33" s="866"/>
      <c r="F33" s="864" t="str">
        <f>IF(ROUND('FC-4_ACTIVO'!F17-'FC-7_INF'!M15,2)=0,"Ok","Mal, revisa FC-4 ACTIVO y FC-7")</f>
        <v>Ok</v>
      </c>
      <c r="G33" s="864" t="str">
        <f>IF(ROUND('FC-4_ACTIVO'!G17-'FC-7_INF'!M26,2)=0,"Ok","Mal, revisa FC-4 ACTIVO y FC-7")</f>
        <v>Ok</v>
      </c>
      <c r="H33" s="860"/>
      <c r="J33" s="862"/>
      <c r="K33" s="862">
        <f>IF(F33="Ok",0,1)</f>
        <v>0</v>
      </c>
      <c r="L33" s="862">
        <f t="shared" si="5"/>
        <v>0</v>
      </c>
      <c r="M33" s="862">
        <f t="shared" si="4"/>
        <v>0</v>
      </c>
    </row>
    <row r="34" spans="2:13" s="861" customFormat="1" ht="30" customHeight="1">
      <c r="B34" s="857"/>
      <c r="C34" s="863" t="s">
        <v>651</v>
      </c>
      <c r="D34" s="863"/>
      <c r="E34" s="866"/>
      <c r="F34" s="864" t="str">
        <f>IF(ROUND('FC-4_ACTIVO'!F26-'FC-7_INF'!M16-'FC-7_INF'!M17,2)=0,"Ok","Mal, revisa FC-4 ACTIVO y FC-7")</f>
        <v>Ok</v>
      </c>
      <c r="G34" s="864" t="str">
        <f>IF(ROUND('FC-4_ACTIVO'!G26-'FC-7_INF'!M27-'FC-7_INF'!M28,2)=0,"Ok","Mal, revisa FC-4 ACTIVO y FC-7")</f>
        <v>Ok</v>
      </c>
      <c r="H34" s="860"/>
      <c r="J34" s="862"/>
      <c r="K34" s="862">
        <f>IF(F34="Ok",0,1)</f>
        <v>0</v>
      </c>
      <c r="L34" s="862">
        <f t="shared" si="5"/>
        <v>0</v>
      </c>
      <c r="M34" s="862">
        <f t="shared" si="4"/>
        <v>0</v>
      </c>
    </row>
    <row r="35" spans="2:13" s="861" customFormat="1" ht="30" customHeight="1">
      <c r="B35" s="857"/>
      <c r="C35" s="863" t="s">
        <v>653</v>
      </c>
      <c r="D35" s="863"/>
      <c r="E35" s="866"/>
      <c r="F35" s="864" t="str">
        <f>IF(ROUND(('FC-4_ACTIVO'!F30-'FC-7_INF'!M18-'FC-7_INF'!M19),2)=0,"Ok","Mal, revisa FC-4 ACTIVO y FC-7")</f>
        <v>Ok</v>
      </c>
      <c r="G35" s="864" t="str">
        <f>IF(ROUND(('FC-4_ACTIVO'!G30-'FC-7_INF'!M29-'FC-7_INF'!M30),2)=0,"Ok","Mal, revisa FC-4 ACTIVO y FC-7")</f>
        <v>Ok</v>
      </c>
      <c r="H35" s="860"/>
      <c r="J35" s="862"/>
      <c r="K35" s="862">
        <f>IF(F35="Ok",0,1)</f>
        <v>0</v>
      </c>
      <c r="L35" s="862">
        <f t="shared" si="5"/>
        <v>0</v>
      </c>
      <c r="M35" s="862">
        <f t="shared" si="4"/>
        <v>0</v>
      </c>
    </row>
    <row r="36" spans="2:13" s="861" customFormat="1" ht="30" customHeight="1">
      <c r="B36" s="857"/>
      <c r="C36" s="865" t="s">
        <v>696</v>
      </c>
      <c r="D36" s="863"/>
      <c r="E36" s="866"/>
      <c r="F36" s="867" t="str">
        <f>IF(ROUND('FC-7_INF'!M22-'FC-4_ACTIVO'!F52,2)=0,"Ok","Mal, revisa FC-4 ACTIVO y FC-7")</f>
        <v>Ok</v>
      </c>
      <c r="G36" s="867" t="str">
        <f>IF(ROUND('FC-7_INF'!M33-'FC-4_ACTIVO'!G52,2)=0,"Ok","Mal, revisa FC-4 ACTIVO y FC-7")</f>
        <v>Ok</v>
      </c>
      <c r="H36" s="860"/>
      <c r="J36" s="862"/>
      <c r="K36" s="862">
        <f>IF(F36="Ok",0,1)</f>
        <v>0</v>
      </c>
      <c r="L36" s="862">
        <f t="shared" si="5"/>
        <v>0</v>
      </c>
      <c r="M36" s="862">
        <f t="shared" si="4"/>
        <v>0</v>
      </c>
    </row>
    <row r="37" spans="2:13" s="861" customFormat="1" ht="30" customHeight="1">
      <c r="B37" s="857"/>
      <c r="C37" s="865" t="s">
        <v>697</v>
      </c>
      <c r="D37" s="863"/>
      <c r="E37" s="866"/>
      <c r="F37" s="864" t="str">
        <f>IF(ROUND('FC-3_CPyG'!F40-'FC-7_INF'!I20,2)=0,"Ok","Mal, revisa datos en FC-3 y FC-7")</f>
        <v>Ok</v>
      </c>
      <c r="G37" s="864" t="str">
        <f>IF(ROUND('FC-3_CPyG'!G40-'FC-7_INF'!I31,2)=0,"Ok","Mal, revisa datos en FC-3 y FC-7")</f>
        <v>Ok</v>
      </c>
      <c r="H37" s="860"/>
      <c r="J37" s="862"/>
      <c r="K37" s="862">
        <f>IF(F37="Ok",0,1)</f>
        <v>0</v>
      </c>
      <c r="L37" s="862">
        <f t="shared" si="5"/>
        <v>0</v>
      </c>
      <c r="M37" s="862">
        <f t="shared" si="4"/>
        <v>0</v>
      </c>
    </row>
    <row r="38" spans="2:13" s="861" customFormat="1" ht="30" customHeight="1">
      <c r="B38" s="857"/>
      <c r="C38" s="868" t="s">
        <v>742</v>
      </c>
      <c r="D38" s="863"/>
      <c r="E38" s="866"/>
      <c r="F38" s="866"/>
      <c r="G38" s="864" t="str">
        <f>IF(ROUND('FC-6_Inversiones'!I46-'FC-7_INF'!F31,2)=0,"Ok","Mal, revisa I46 en FC-6 y F31 en FC-7")</f>
        <v>Ok</v>
      </c>
      <c r="H38" s="860"/>
      <c r="J38" s="862"/>
      <c r="K38" s="862"/>
      <c r="L38" s="862"/>
      <c r="M38" s="862"/>
    </row>
    <row r="39" spans="2:13" s="861" customFormat="1" ht="30" customHeight="1">
      <c r="B39" s="857"/>
      <c r="C39" s="869" t="s">
        <v>770</v>
      </c>
      <c r="D39" s="869"/>
      <c r="E39" s="870"/>
      <c r="F39" s="870"/>
      <c r="G39" s="871" t="str">
        <f>IF(ROUND(('FC-4_ACTIVO'!G34+'FC-4_ACTIVO'!G76)-'FC-8_INV_FINANCIERAS'!J25,2)=0,"Ok","Mal, revisa datos en FC-4 Activo y FC-8")</f>
        <v>Ok</v>
      </c>
      <c r="H39" s="860"/>
      <c r="J39" s="862"/>
      <c r="K39" s="862"/>
      <c r="L39" s="862"/>
      <c r="M39" s="862"/>
    </row>
    <row r="40" spans="2:13" s="861" customFormat="1" ht="30" customHeight="1">
      <c r="B40" s="857"/>
      <c r="C40" s="869" t="s">
        <v>772</v>
      </c>
      <c r="D40" s="869"/>
      <c r="E40" s="870"/>
      <c r="F40" s="870"/>
      <c r="G40" s="871" t="str">
        <f>IF(ROUND((SUM('FC-4_ACTIVO'!G35:G39)+SUM('FC-4_ACTIVO'!G77:G81))-('FC-8_INV_FINANCIERAS'!J34),2)=0,"Ok","Mal, revisa datos en FC-4 Activo y FC-8")</f>
        <v>Ok</v>
      </c>
      <c r="H40" s="860"/>
      <c r="J40" s="862"/>
      <c r="K40" s="862"/>
      <c r="L40" s="862"/>
      <c r="M40" s="862"/>
    </row>
    <row r="41" spans="2:13" s="861" customFormat="1" ht="30" customHeight="1">
      <c r="B41" s="857"/>
      <c r="C41" s="869" t="s">
        <v>771</v>
      </c>
      <c r="D41" s="869"/>
      <c r="E41" s="870"/>
      <c r="F41" s="870"/>
      <c r="G41" s="871" t="str">
        <f>IF(ROUND(('FC-4_ACTIVO'!G41+'FC-4_ACTIVO'!G83)-'FC-8_INV_FINANCIERAS'!J49,2)=0,"Ok","Mal, revisa datos en FC-4 ACTIVO y FC-8")</f>
        <v>Ok</v>
      </c>
      <c r="H41" s="860"/>
      <c r="J41" s="862"/>
      <c r="K41" s="862"/>
      <c r="L41" s="862"/>
      <c r="M41" s="862"/>
    </row>
    <row r="42" spans="2:13" s="861" customFormat="1" ht="30" customHeight="1">
      <c r="B42" s="857"/>
      <c r="C42" s="869" t="s">
        <v>773</v>
      </c>
      <c r="D42" s="869"/>
      <c r="E42" s="870"/>
      <c r="F42" s="870"/>
      <c r="G42" s="871" t="str">
        <f>IF(ROUND((SUM('FC-4_ACTIVO'!G42:G46)+SUM('FC-4_ACTIVO'!G84:G88))-'FC-8_INV_FINANCIERAS'!J58,2)=0,"Ok","Mal, revisa datos en FC-4 Activo y en FC-8")</f>
        <v>Ok</v>
      </c>
      <c r="H42" s="860"/>
      <c r="J42" s="862"/>
      <c r="K42" s="862"/>
      <c r="L42" s="862"/>
      <c r="M42" s="862"/>
    </row>
    <row r="43" spans="2:13" s="861" customFormat="1" ht="30" customHeight="1">
      <c r="B43" s="857"/>
      <c r="C43" s="910" t="s">
        <v>945</v>
      </c>
      <c r="D43" s="863"/>
      <c r="E43" s="870"/>
      <c r="F43" s="982" t="str">
        <f>IF(ROUND('FC-9_TRANS_SUBV'!F31-'FC-9_TRANS_SUBV'!G31-'FC-9_TRANS_SUBV'!H31,2)=0,"Ok","Mal, revisa en FC-9 línea original 31")</f>
        <v>Ok</v>
      </c>
      <c r="G43" s="982" t="str">
        <f>IF(ROUND('FC-9_TRANS_SUBV'!I31-'FC-9_TRANS_SUBV'!J31-'FC-9_TRANS_SUBV'!K31,2)=0,"Ok","Mal, revisa en FC-9 línea original 31")</f>
        <v>Ok</v>
      </c>
      <c r="H43" s="860"/>
      <c r="J43" s="862"/>
      <c r="K43" s="862"/>
      <c r="L43" s="862"/>
      <c r="M43" s="862"/>
    </row>
    <row r="44" spans="2:13" s="861" customFormat="1" ht="30" customHeight="1">
      <c r="B44" s="857"/>
      <c r="C44" s="865" t="s">
        <v>699</v>
      </c>
      <c r="D44" s="863"/>
      <c r="E44" s="866"/>
      <c r="F44" s="864" t="str">
        <f>IF(ROUND('FC-4_PASIVO'!F41-'FC-9_TRANS_SUBV'!G34,2)=0,"Ok","Mal, revisa FC-4 PASIVO y FC-9")</f>
        <v>Ok</v>
      </c>
      <c r="G44" s="864" t="str">
        <f>IF(ROUND('FC-4_PASIVO'!G41-'FC-9_TRANS_SUBV'!J34,2)=0,"Ok","Mal, revisa FC-4 PASIVO y FC-9")</f>
        <v>Ok</v>
      </c>
      <c r="H44" s="860"/>
      <c r="J44" s="862"/>
      <c r="K44" s="862">
        <f>IF(F44="Ok",0,1)</f>
        <v>0</v>
      </c>
      <c r="L44" s="862">
        <f>IF(G44="Ok",0,1)</f>
        <v>0</v>
      </c>
      <c r="M44" s="862">
        <f>SUM(J44:L44)</f>
        <v>0</v>
      </c>
    </row>
    <row r="45" spans="2:13" s="908" customFormat="1" ht="30" customHeight="1">
      <c r="B45" s="909"/>
      <c r="C45" s="910" t="s">
        <v>811</v>
      </c>
      <c r="D45" s="910"/>
      <c r="E45" s="911"/>
      <c r="F45" s="912" t="str">
        <f>IF(ROUND('FC-3_CPyG'!F41+('FC-9_TRANS_SUBV'!F33),2)=0,"Ok","Mal, revisa datos FC-3 epígr. A) 9. y FC-9 celda F33")</f>
        <v>Ok</v>
      </c>
      <c r="G45" s="912" t="str">
        <f>IF(ROUND('FC-3_CPyG'!G41+('FC-9_TRANS_SUBV'!I33),2)=0,"Ok","Mal, revisa datos FC-3 epígr. A) 9. y FC-9 celda G33")</f>
        <v>Ok</v>
      </c>
      <c r="H45" s="913"/>
      <c r="J45" s="862"/>
      <c r="K45" s="862"/>
      <c r="L45" s="862"/>
      <c r="M45" s="862"/>
    </row>
    <row r="46" spans="2:13" s="861" customFormat="1" ht="30" customHeight="1">
      <c r="B46" s="857"/>
      <c r="C46" s="865" t="s">
        <v>700</v>
      </c>
      <c r="D46" s="863"/>
      <c r="E46" s="866"/>
      <c r="F46" s="864" t="str">
        <f>IF(ROUND('FC-3_CPyG'!F29-'FC-9_TRANS_SUBV'!G58,2)=0,"Ok","Mal, revisa dato en FC-3 y FC-9")</f>
        <v>Ok</v>
      </c>
      <c r="G46" s="864" t="str">
        <f>IF(ROUND('FC-3_CPyG'!G29-'FC-9_TRANS_SUBV'!H58,2)=0,"Ok","Mal, revisa dato en FC-3 y FC-9")</f>
        <v>Ok</v>
      </c>
      <c r="H46" s="860"/>
      <c r="J46" s="862"/>
      <c r="K46" s="862">
        <f>IF(F46="Ok",0,1)</f>
        <v>0</v>
      </c>
      <c r="L46" s="862">
        <f>IF(G46="Ok",0,1)</f>
        <v>0</v>
      </c>
      <c r="M46" s="862">
        <f>SUM(J46:L46)</f>
        <v>0</v>
      </c>
    </row>
    <row r="47" spans="2:13" s="861" customFormat="1" ht="30" customHeight="1">
      <c r="B47" s="857"/>
      <c r="C47" s="910" t="s">
        <v>1010</v>
      </c>
      <c r="D47" s="863"/>
      <c r="E47" s="866"/>
      <c r="F47" s="864" t="str">
        <f>IF(ROUND('FC-3_1_INF_ADIC_CPyG'!F81-'FC-9_TRANS_SUBV'!G59,2)=0,"Ok","Mal, revisa dato en FC-3_1 y FC-9")</f>
        <v>Ok</v>
      </c>
      <c r="G47" s="864" t="str">
        <f>IF(ROUND('FC-3_1_INF_ADIC_CPyG'!G81-'FC-9_TRANS_SUBV'!H59,2)=0,"Ok","Mal, revisa dato en FC-3_1 y FC-9")</f>
        <v>Ok</v>
      </c>
      <c r="H47" s="860"/>
      <c r="J47" s="862"/>
      <c r="K47" s="862"/>
      <c r="L47" s="862"/>
      <c r="M47" s="862"/>
    </row>
    <row r="48" spans="2:13" s="861" customFormat="1" ht="30" customHeight="1">
      <c r="B48" s="857"/>
      <c r="C48" s="910" t="s">
        <v>927</v>
      </c>
      <c r="D48" s="863"/>
      <c r="E48" s="866"/>
      <c r="F48" s="866"/>
      <c r="G48" s="864" t="str">
        <f>IF(ROUND(('FC-4_PASIVO'!G51+'FC-4_PASIVO'!G52)-('FC-10_DEUDAS'!S43),2)=0,"Ok","Mal, revisa datos en FC-4 PASIVO y FC-10")</f>
        <v>Ok</v>
      </c>
      <c r="H48" s="860"/>
      <c r="J48" s="862"/>
      <c r="K48" s="862">
        <f>IF(F48="Ok",0,1)</f>
        <v>1</v>
      </c>
      <c r="L48" s="862">
        <f>IF(G48="Ok",0,1)</f>
        <v>0</v>
      </c>
      <c r="M48" s="862">
        <f>SUM(J48:L48)</f>
        <v>1</v>
      </c>
    </row>
    <row r="49" spans="2:13" s="861" customFormat="1" ht="30" customHeight="1">
      <c r="B49" s="857"/>
      <c r="C49" s="910" t="s">
        <v>928</v>
      </c>
      <c r="D49" s="863"/>
      <c r="E49" s="866"/>
      <c r="F49" s="866"/>
      <c r="G49" s="864" t="str">
        <f>IF(ROUND(('FC-4_PASIVO'!G68+'FC-4_PASIVO'!G69)-('FC-10_DEUDAS'!R43),2)=0,"Ok","Mal, revisa datos en FC-4 PASIVO y FC-10")</f>
        <v>Ok</v>
      </c>
      <c r="H49" s="860"/>
      <c r="J49" s="862"/>
      <c r="K49" s="862"/>
      <c r="L49" s="862"/>
      <c r="M49" s="862"/>
    </row>
    <row r="50" spans="2:13" s="861" customFormat="1" ht="30" customHeight="1">
      <c r="B50" s="857"/>
      <c r="C50" s="910" t="s">
        <v>949</v>
      </c>
      <c r="D50" s="863"/>
      <c r="E50" s="866"/>
      <c r="F50" s="866"/>
      <c r="G50" s="864" t="str">
        <f>IF(ROUND('FC-4_PASIVO'!G54-'FC-10_DEUDAS'!S75,2)=0,"Ok","Mal, revisa datos en FC-4 Pasivo y FC-10")</f>
        <v>Ok</v>
      </c>
      <c r="H50" s="860"/>
      <c r="J50" s="862"/>
      <c r="K50" s="862"/>
      <c r="L50" s="862"/>
      <c r="M50" s="862"/>
    </row>
    <row r="51" spans="2:13" s="861" customFormat="1" ht="30" customHeight="1">
      <c r="B51" s="857"/>
      <c r="C51" s="910" t="s">
        <v>948</v>
      </c>
      <c r="D51" s="863"/>
      <c r="E51" s="866"/>
      <c r="F51" s="866"/>
      <c r="G51" s="864" t="str">
        <f>IF(ROUND('FC-4_PASIVO'!G71-'FC-10_DEUDAS'!R75,2)=0,"Ok","Mal, revisa datos en FC-4 Pasivo y FC-10")</f>
        <v>Ok</v>
      </c>
      <c r="H51" s="860"/>
      <c r="J51" s="862"/>
      <c r="K51" s="862"/>
      <c r="L51" s="862"/>
      <c r="M51" s="862"/>
    </row>
    <row r="52" spans="2:13" s="861" customFormat="1" ht="30" customHeight="1">
      <c r="B52" s="857"/>
      <c r="C52" s="910" t="s">
        <v>950</v>
      </c>
      <c r="D52" s="863"/>
      <c r="E52" s="866"/>
      <c r="F52" s="866"/>
      <c r="G52" s="864" t="str">
        <f>IF(ROUND('FC-4_PASIVO'!G55-'FC-10_DEUDAS'!S107,2)=0,"Ok","Mal, revisa datos en FC-4 Pasivo y FC-10")</f>
        <v>Ok</v>
      </c>
      <c r="H52" s="860"/>
      <c r="J52" s="862"/>
      <c r="K52" s="862"/>
      <c r="L52" s="862"/>
      <c r="M52" s="862"/>
    </row>
    <row r="53" spans="2:13" s="861" customFormat="1" ht="30" customHeight="1">
      <c r="B53" s="857"/>
      <c r="C53" s="910" t="s">
        <v>951</v>
      </c>
      <c r="D53" s="863"/>
      <c r="E53" s="866"/>
      <c r="F53" s="866"/>
      <c r="G53" s="864" t="str">
        <f>IF(ROUND('FC-4_PASIVO'!G72-'FC-10_DEUDAS'!R107,2)=0,"Ok","Mal, revisa datos en FC-4 Pasivo y FC-10")</f>
        <v>Ok</v>
      </c>
      <c r="H53" s="860"/>
      <c r="J53" s="862"/>
      <c r="K53" s="862"/>
      <c r="L53" s="862"/>
      <c r="M53" s="862"/>
    </row>
    <row r="54" spans="2:13" s="861" customFormat="1" ht="30" customHeight="1">
      <c r="B54" s="857"/>
      <c r="C54" s="910" t="s">
        <v>1054</v>
      </c>
      <c r="D54" s="863"/>
      <c r="E54" s="866"/>
      <c r="F54" s="866"/>
      <c r="G54" s="864" t="str">
        <f>IF(ROUND('FC-10_DEUDAS'!Q43-'FC-10_DEUDAS'!R43-'FC-10_DEUDAS'!S43,2)=0,"Ok","Mal, revisa datos, fila inicial 43 en FC-10")</f>
        <v>Ok</v>
      </c>
      <c r="H54" s="860"/>
      <c r="J54" s="862"/>
      <c r="K54" s="862"/>
      <c r="L54" s="862">
        <f>IF(G54="Ok",0,1)</f>
        <v>0</v>
      </c>
      <c r="M54" s="862">
        <f>SUM(J54:L54)</f>
        <v>0</v>
      </c>
    </row>
    <row r="55" spans="2:13" s="861" customFormat="1" ht="30" customHeight="1">
      <c r="B55" s="857"/>
      <c r="C55" s="910" t="s">
        <v>1055</v>
      </c>
      <c r="D55" s="1188"/>
      <c r="E55" s="1189"/>
      <c r="F55" s="1189"/>
      <c r="G55" s="864" t="str">
        <f>IF(ROUND('FC-10_DEUDAS'!Q75-'FC-10_DEUDAS'!R75-'FC-10_DEUDAS'!S75,2)=0,"Ok","Mal, revisa datos, fila inicial 75 en FC-10")</f>
        <v>Ok</v>
      </c>
      <c r="H55" s="860"/>
      <c r="J55" s="862"/>
      <c r="K55" s="862"/>
      <c r="L55" s="862"/>
      <c r="M55" s="862"/>
    </row>
    <row r="56" spans="2:13" s="861" customFormat="1" ht="30" customHeight="1">
      <c r="B56" s="857"/>
      <c r="C56" s="910" t="s">
        <v>1056</v>
      </c>
      <c r="D56" s="1188"/>
      <c r="E56" s="1189"/>
      <c r="F56" s="1189"/>
      <c r="G56" s="864" t="str">
        <f>IF(ROUND('FC-10_DEUDAS'!Q107-'FC-10_DEUDAS'!R107-'FC-10_DEUDAS'!S107,2)=0,"Ok","Mal, revisa datos, fila inicial 107 en FC-10")</f>
        <v>Ok</v>
      </c>
      <c r="H56" s="860"/>
      <c r="J56" s="862"/>
      <c r="K56" s="862"/>
      <c r="L56" s="862"/>
      <c r="M56" s="862"/>
    </row>
    <row r="57" spans="2:13" s="861" customFormat="1" ht="30" customHeight="1">
      <c r="B57" s="857"/>
      <c r="C57" s="1331" t="s">
        <v>1045</v>
      </c>
      <c r="D57" s="1188"/>
      <c r="E57" s="1189"/>
      <c r="F57" s="864" t="str">
        <f>IF(ROUND('FC-4_PASIVO'!F44-'FC-16_1_ INF_ADIC_ESTAB_PRESUP'!E19,2)=0,"Ok","Mal, revisa dato en FC-4_PASIVO y FC-16_1")</f>
        <v>Ok</v>
      </c>
      <c r="G57" s="864" t="str">
        <f>IF(ROUND('FC-4_PASIVO'!G44-'FC-16_1_ INF_ADIC_ESTAB_PRESUP'!J19,2)=0,"Ok","Mal, revisa dato en FC-4_PASIVO y FC-16_1")</f>
        <v>Ok</v>
      </c>
      <c r="H57" s="860"/>
      <c r="J57" s="862"/>
      <c r="K57" s="862"/>
      <c r="L57" s="862"/>
      <c r="M57" s="862"/>
    </row>
    <row r="58" spans="2:13" s="861" customFormat="1" ht="30" customHeight="1">
      <c r="B58" s="857"/>
      <c r="C58" s="1331" t="s">
        <v>1046</v>
      </c>
      <c r="D58" s="1188"/>
      <c r="E58" s="1189"/>
      <c r="F58" s="864" t="str">
        <f>IF(ROUND('FC-4_PASIVO'!F63-'FC-16_1_ INF_ADIC_ESTAB_PRESUP'!E28,2)=0,"Ok","Mal, revisa dato en FC-4_PASIVO y FC-16_1")</f>
        <v>Ok</v>
      </c>
      <c r="G58" s="864" t="str">
        <f>IF(ROUND('FC-4_PASIVO'!G63-'FC-16_1_ INF_ADIC_ESTAB_PRESUP'!J28,2)=0,"Ok","Mal, revisa dato en FC-4_PASIVO y FC-16_1")</f>
        <v>Ok</v>
      </c>
      <c r="H58" s="860"/>
      <c r="J58" s="862"/>
      <c r="K58" s="862"/>
      <c r="L58" s="862"/>
      <c r="M58" s="862"/>
    </row>
    <row r="59" spans="2:13" s="861" customFormat="1" ht="30" customHeight="1">
      <c r="B59" s="857"/>
      <c r="C59" s="872" t="s">
        <v>704</v>
      </c>
      <c r="D59" s="873"/>
      <c r="E59" s="874"/>
      <c r="F59" s="874"/>
      <c r="G59" s="875" t="str">
        <f>IF(ROUND(-'FC-3_CPyG'!G30-'FC-13_PERSONAL'!F31,2)=0,"Ok","Mal, revísa dato en FC-3 CPyG y FC-13")</f>
        <v>Ok</v>
      </c>
      <c r="H59" s="860"/>
      <c r="J59" s="862"/>
      <c r="K59" s="862"/>
      <c r="L59" s="862">
        <f>IF(G59="Ok",0,1)</f>
        <v>0</v>
      </c>
      <c r="M59" s="862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8"/>
      <c r="K60" s="788"/>
      <c r="L60" s="788"/>
      <c r="M60" s="788"/>
    </row>
    <row r="61" spans="2:13" ht="30" customHeight="1">
      <c r="B61" s="364"/>
      <c r="C61" s="955" t="s">
        <v>934</v>
      </c>
      <c r="D61" s="876"/>
      <c r="E61" s="877"/>
      <c r="F61" s="877"/>
      <c r="G61" s="878" t="str">
        <f>IF(ROUND('FC-3_CPyG'!G84-'_FC-90_DETALLE'!E168,2)=0,"Ok","Mal, revisa resultado en F-3 y FC-92")</f>
        <v>Ok</v>
      </c>
      <c r="H61" s="365"/>
      <c r="J61" s="788"/>
      <c r="K61" s="788"/>
      <c r="L61" s="788">
        <f>IF(G61="Ok",0,1)</f>
        <v>0</v>
      </c>
      <c r="M61" s="788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">
      <selection activeCell="C11" sqref="C1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99.55468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4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4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8" t="str">
        <f>Entidad</f>
        <v>INSTITUTO VOLCANOLOGICO DE CANARIAS SAU</v>
      </c>
      <c r="E9" s="1358"/>
      <c r="F9" s="1358"/>
      <c r="G9" s="1358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9"/>
      <c r="D12" s="1429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57"/>
      <c r="D35" s="1357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1">
      <selection activeCell="F27" sqref="F27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4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4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8" t="str">
        <f>Entidad</f>
        <v>INSTITUTO VOLCANOLOGICO DE CANARIAS SAU</v>
      </c>
      <c r="E9" s="1358"/>
      <c r="F9" s="1358"/>
      <c r="G9" s="1358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9"/>
      <c r="D12" s="1429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41" t="s">
        <v>443</v>
      </c>
      <c r="D18" s="1442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82" t="s">
        <v>569</v>
      </c>
      <c r="D20" s="1483"/>
      <c r="E20" s="272">
        <f>SUM(E21:E30)</f>
        <v>1243950.55</v>
      </c>
      <c r="F20" s="1495"/>
      <c r="G20" s="1496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7">
        <f>+'FC-3_CPyG'!G16</f>
        <v>17000</v>
      </c>
      <c r="F21" s="1497"/>
      <c r="G21" s="1498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7">
        <f>+'FC-3_CPyG'!G21</f>
        <v>0</v>
      </c>
      <c r="F22" s="1491"/>
      <c r="G22" s="1492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7">
        <f>+'FC-3_CPyG'!G28</f>
        <v>9600</v>
      </c>
      <c r="F23" s="1491"/>
      <c r="G23" s="1492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7">
        <f>'FC-9_TRANS_SUBV'!J58</f>
        <v>599347.67</v>
      </c>
      <c r="F24" s="1491"/>
      <c r="G24" s="1492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7">
        <f>+'FC-3_CPyG'!G55+'FC-3_CPyG'!G72+IF('FC-3_CPyG'!G73&gt;0,'FC-3_CPyG'!G73,0)</f>
        <v>0</v>
      </c>
      <c r="F25" s="1491"/>
      <c r="G25" s="1492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7">
        <f>+'FC-3_CPyG'!G52</f>
        <v>0</v>
      </c>
      <c r="F26" s="1491"/>
      <c r="G26" s="1492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1" t="s">
        <v>1053</v>
      </c>
      <c r="D27" s="266"/>
      <c r="E27" s="1262"/>
      <c r="F27" s="1243" t="s">
        <v>1001</v>
      </c>
      <c r="G27" s="1291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7">
        <f>+'FC-3_1_INF_ADIC_CPyG'!G48</f>
        <v>0</v>
      </c>
      <c r="F28" s="1491"/>
      <c r="G28" s="1492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7" t="s">
        <v>774</v>
      </c>
      <c r="D29" s="266"/>
      <c r="E29" s="607">
        <f>'FC-9_TRANS_SUBV'!J74+'FC-9_TRANS_SUBV'!H88</f>
        <v>375000</v>
      </c>
      <c r="F29" s="1491"/>
      <c r="G29" s="1492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8">
        <f>'FC-9_TRANS_SUBV'!M31</f>
        <v>243002.88</v>
      </c>
      <c r="F30" s="1493"/>
      <c r="G30" s="1494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82" t="s">
        <v>578</v>
      </c>
      <c r="D32" s="1483"/>
      <c r="E32" s="272">
        <f>SUM(E33:E44)</f>
        <v>-1243965</v>
      </c>
      <c r="F32" s="1495"/>
      <c r="G32" s="1496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7">
        <f>+'FC-3_CPyG'!G22</f>
        <v>0</v>
      </c>
      <c r="F33" s="1491"/>
      <c r="G33" s="1492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7">
        <f>+'FC-3_CPyG'!G30</f>
        <v>-590295.87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7">
        <f>'FC-3_CPyG'!G35+'FC-3_CPyG'!G38+'FC-3_CPyG'!G39</f>
        <v>-385942.22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7">
        <f>+'FC-3_CPyG'!G60+'FC-3_CPyG'!G61+'FC-3_CPyG'!G71+IF('FC-3_CPyG'!G73&lt;0,'FC-3_CPyG'!G73,0)</f>
        <v>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7">
        <f>-'FC-3_1_INF_ADIC_CPyG'!G68-'FC-3_1_INF_ADIC_CPyG'!G69</f>
        <v>0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7">
        <f>+'FC-3_CPyG'!G36</f>
        <v>-900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7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0">
        <f>-'FC-7_INF'!F31-'FC-7_INF'!H31+'FC-7_INF'!N31-'FC-7_INF'!F33-'FC-7_INF'!H33-'FC-7_INF'!K33</f>
        <v>-266826.91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6" t="s">
        <v>585</v>
      </c>
      <c r="D41" s="266"/>
      <c r="E41" s="1260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1" t="s">
        <v>1048</v>
      </c>
      <c r="D42" s="266"/>
      <c r="E42" s="1260">
        <f>'FC-16_1_ INF_ADIC_ESTAB_PRESUP'!G19+'FC-16_1_ INF_ADIC_ESTAB_PRESUP'!G28</f>
        <v>0</v>
      </c>
      <c r="F42" s="1243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1" t="s">
        <v>1049</v>
      </c>
      <c r="D43" s="266"/>
      <c r="E43" s="1262"/>
      <c r="F43" s="1491" t="s">
        <v>1001</v>
      </c>
      <c r="G43" s="1492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3" t="s">
        <v>1050</v>
      </c>
      <c r="D44" s="267"/>
      <c r="E44" s="1266">
        <f>'FC-3_1_INF_ADIC_CPyG'!G87</f>
        <v>0</v>
      </c>
      <c r="F44" s="1493"/>
      <c r="G44" s="1494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-14.449999999953434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57"/>
      <c r="D52" s="1357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  <mergeCell ref="F28:G28"/>
    <mergeCell ref="F29:G29"/>
    <mergeCell ref="F30:G30"/>
    <mergeCell ref="F32:G32"/>
    <mergeCell ref="F33:G3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PageLayoutView="125" workbookViewId="0" topLeftCell="A13">
      <selection activeCell="K48" sqref="K48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59.77734375" style="615" customWidth="1"/>
    <col min="5" max="10" width="13.4453125" style="617" customWidth="1"/>
    <col min="11" max="11" width="40.77734375" style="617" customWidth="1"/>
    <col min="12" max="12" width="3.21484375" style="615" customWidth="1"/>
    <col min="13" max="16384" width="10.77734375" style="615" customWidth="1"/>
  </cols>
  <sheetData>
    <row r="2" ht="22.5" customHeight="1">
      <c r="D2" s="677" t="str">
        <f>_GENERAL!D2</f>
        <v>Área de Presidencia, Hacienda y Modernización</v>
      </c>
    </row>
    <row r="3" ht="22.5" customHeight="1">
      <c r="D3" s="677" t="str">
        <f>_GENERAL!D3</f>
        <v>Dirección Insular de Hacienda</v>
      </c>
    </row>
    <row r="4" ht="22.5" customHeight="1" thickBot="1">
      <c r="A4" s="615" t="s">
        <v>935</v>
      </c>
    </row>
    <row r="5" spans="2:27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3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5"/>
    </row>
    <row r="6" spans="2:27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350">
        <f>ejercicio</f>
        <v>2020</v>
      </c>
      <c r="L6" s="626"/>
      <c r="N6" s="986"/>
      <c r="O6" s="987" t="s">
        <v>677</v>
      </c>
      <c r="P6" s="988"/>
      <c r="Q6" s="988"/>
      <c r="R6" s="988"/>
      <c r="S6" s="988"/>
      <c r="T6" s="988"/>
      <c r="U6" s="988"/>
      <c r="V6" s="988"/>
      <c r="W6" s="988"/>
      <c r="X6" s="988"/>
      <c r="Y6" s="988"/>
      <c r="Z6" s="988"/>
      <c r="AA6" s="989"/>
    </row>
    <row r="7" spans="2:27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350"/>
      <c r="L7" s="626"/>
      <c r="N7" s="986"/>
      <c r="O7" s="988"/>
      <c r="P7" s="988"/>
      <c r="Q7" s="988"/>
      <c r="R7" s="988"/>
      <c r="S7" s="988"/>
      <c r="T7" s="988"/>
      <c r="U7" s="988"/>
      <c r="V7" s="988"/>
      <c r="W7" s="988"/>
      <c r="X7" s="988"/>
      <c r="Y7" s="988"/>
      <c r="Z7" s="988"/>
      <c r="AA7" s="989"/>
    </row>
    <row r="8" spans="2:27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1013"/>
      <c r="L8" s="626"/>
      <c r="N8" s="986"/>
      <c r="O8" s="988"/>
      <c r="P8" s="988"/>
      <c r="Q8" s="988"/>
      <c r="R8" s="988"/>
      <c r="S8" s="988"/>
      <c r="T8" s="988"/>
      <c r="U8" s="988"/>
      <c r="V8" s="988"/>
      <c r="W8" s="988"/>
      <c r="X8" s="988"/>
      <c r="Y8" s="988"/>
      <c r="Z8" s="988"/>
      <c r="AA8" s="989"/>
    </row>
    <row r="9" spans="2:27" s="1301" customFormat="1" ht="30" customHeight="1">
      <c r="B9" s="1302"/>
      <c r="C9" s="630" t="s">
        <v>2</v>
      </c>
      <c r="D9" s="1352" t="str">
        <f>Entidad</f>
        <v>INSTITUTO VOLCANOLOGICO DE CANARIAS SAU</v>
      </c>
      <c r="E9" s="1352"/>
      <c r="F9" s="1352"/>
      <c r="G9" s="1352"/>
      <c r="H9" s="1352"/>
      <c r="I9" s="1352"/>
      <c r="J9" s="1352"/>
      <c r="K9" s="1352"/>
      <c r="L9" s="1303"/>
      <c r="N9" s="1304"/>
      <c r="O9" s="1305"/>
      <c r="P9" s="1305"/>
      <c r="Q9" s="1305"/>
      <c r="R9" s="1305"/>
      <c r="S9" s="1305"/>
      <c r="T9" s="1305"/>
      <c r="U9" s="1305"/>
      <c r="V9" s="1305"/>
      <c r="W9" s="1305"/>
      <c r="X9" s="1305"/>
      <c r="Y9" s="1305"/>
      <c r="Z9" s="1305"/>
      <c r="AA9" s="1306"/>
    </row>
    <row r="10" spans="2:27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6"/>
      <c r="O10" s="988"/>
      <c r="P10" s="988"/>
      <c r="Q10" s="988"/>
      <c r="R10" s="988"/>
      <c r="S10" s="988"/>
      <c r="T10" s="988"/>
      <c r="U10" s="988"/>
      <c r="V10" s="988"/>
      <c r="W10" s="988"/>
      <c r="X10" s="988"/>
      <c r="Y10" s="988"/>
      <c r="Z10" s="988"/>
      <c r="AA10" s="989"/>
    </row>
    <row r="11" spans="2:27" s="635" customFormat="1" ht="30" customHeight="1">
      <c r="B11" s="632"/>
      <c r="C11" s="633" t="s">
        <v>1025</v>
      </c>
      <c r="D11" s="633"/>
      <c r="E11" s="634"/>
      <c r="F11" s="634"/>
      <c r="G11" s="634"/>
      <c r="H11" s="634"/>
      <c r="I11" s="634"/>
      <c r="J11" s="634"/>
      <c r="K11" s="634"/>
      <c r="L11" s="990"/>
      <c r="N11" s="1307"/>
      <c r="O11" s="1308"/>
      <c r="P11" s="1308"/>
      <c r="Q11" s="1308"/>
      <c r="R11" s="1308"/>
      <c r="S11" s="1308"/>
      <c r="T11" s="1308"/>
      <c r="U11" s="1308"/>
      <c r="V11" s="1308"/>
      <c r="W11" s="1308"/>
      <c r="X11" s="1308"/>
      <c r="Y11" s="1308"/>
      <c r="Z11" s="1308"/>
      <c r="AA11" s="1309"/>
    </row>
    <row r="12" spans="2:27" s="635" customFormat="1" ht="30" customHeight="1">
      <c r="B12" s="632"/>
      <c r="C12" s="1310"/>
      <c r="D12" s="1310"/>
      <c r="E12" s="636"/>
      <c r="F12" s="636"/>
      <c r="G12" s="636"/>
      <c r="H12" s="636"/>
      <c r="I12" s="636"/>
      <c r="J12" s="636"/>
      <c r="K12" s="636"/>
      <c r="L12" s="990"/>
      <c r="N12" s="1307"/>
      <c r="O12" s="1308"/>
      <c r="P12" s="1308"/>
      <c r="Q12" s="1308"/>
      <c r="R12" s="1308"/>
      <c r="S12" s="1308"/>
      <c r="T12" s="1308"/>
      <c r="U12" s="1308"/>
      <c r="V12" s="1308"/>
      <c r="W12" s="1308"/>
      <c r="X12" s="1308"/>
      <c r="Y12" s="1308"/>
      <c r="Z12" s="1308"/>
      <c r="AA12" s="1309"/>
    </row>
    <row r="13" spans="2:27" s="1311" customFormat="1" ht="22.5" customHeight="1">
      <c r="B13" s="638"/>
      <c r="C13" s="1499"/>
      <c r="D13" s="1500"/>
      <c r="E13" s="992" t="s">
        <v>1032</v>
      </c>
      <c r="F13" s="1501" t="s">
        <v>396</v>
      </c>
      <c r="G13" s="1502"/>
      <c r="H13" s="1502"/>
      <c r="I13" s="1503"/>
      <c r="J13" s="992" t="s">
        <v>1033</v>
      </c>
      <c r="K13" s="1504" t="s">
        <v>1044</v>
      </c>
      <c r="L13" s="1312"/>
      <c r="N13" s="986"/>
      <c r="O13" s="988"/>
      <c r="P13" s="988"/>
      <c r="Q13" s="988"/>
      <c r="R13" s="988"/>
      <c r="S13" s="988"/>
      <c r="T13" s="988"/>
      <c r="U13" s="988"/>
      <c r="V13" s="988"/>
      <c r="W13" s="988"/>
      <c r="X13" s="988"/>
      <c r="Y13" s="988"/>
      <c r="Z13" s="988"/>
      <c r="AA13" s="989"/>
    </row>
    <row r="14" spans="2:27" ht="24.75">
      <c r="B14" s="622"/>
      <c r="C14" s="1313" t="s">
        <v>1026</v>
      </c>
      <c r="D14" s="1314"/>
      <c r="E14" s="1315">
        <f>ejercicio</f>
        <v>2020</v>
      </c>
      <c r="F14" s="1316" t="s">
        <v>1034</v>
      </c>
      <c r="G14" s="1317" t="s">
        <v>1035</v>
      </c>
      <c r="H14" s="1317" t="s">
        <v>1036</v>
      </c>
      <c r="I14" s="1318" t="s">
        <v>1037</v>
      </c>
      <c r="J14" s="1315">
        <f>ejercicio</f>
        <v>2020</v>
      </c>
      <c r="K14" s="1505"/>
      <c r="L14" s="626"/>
      <c r="N14" s="986"/>
      <c r="O14" s="988"/>
      <c r="P14" s="988"/>
      <c r="Q14" s="988"/>
      <c r="R14" s="988"/>
      <c r="S14" s="988"/>
      <c r="T14" s="988"/>
      <c r="U14" s="988"/>
      <c r="V14" s="988"/>
      <c r="W14" s="988"/>
      <c r="X14" s="988"/>
      <c r="Y14" s="988"/>
      <c r="Z14" s="988"/>
      <c r="AA14" s="989"/>
    </row>
    <row r="15" spans="2:27" s="1319" customFormat="1" ht="22.5" customHeight="1">
      <c r="B15" s="638"/>
      <c r="C15" s="1320" t="s">
        <v>1028</v>
      </c>
      <c r="D15" s="1321"/>
      <c r="E15" s="481"/>
      <c r="F15" s="482"/>
      <c r="G15" s="483"/>
      <c r="H15" s="483"/>
      <c r="I15" s="484"/>
      <c r="J15" s="801">
        <f>SUM(E15:I15)</f>
        <v>0</v>
      </c>
      <c r="K15" s="512"/>
      <c r="L15" s="1312"/>
      <c r="N15" s="986"/>
      <c r="O15" s="988"/>
      <c r="P15" s="988"/>
      <c r="Q15" s="988"/>
      <c r="R15" s="988"/>
      <c r="S15" s="988"/>
      <c r="T15" s="988"/>
      <c r="U15" s="988"/>
      <c r="V15" s="988"/>
      <c r="W15" s="988"/>
      <c r="X15" s="988"/>
      <c r="Y15" s="988"/>
      <c r="Z15" s="988"/>
      <c r="AA15" s="989"/>
    </row>
    <row r="16" spans="2:27" ht="22.5" customHeight="1">
      <c r="B16" s="638"/>
      <c r="C16" s="1322" t="s">
        <v>1029</v>
      </c>
      <c r="D16" s="1323"/>
      <c r="E16" s="485"/>
      <c r="F16" s="486"/>
      <c r="G16" s="487"/>
      <c r="H16" s="487"/>
      <c r="I16" s="488"/>
      <c r="J16" s="806">
        <f>SUM(E16:I16)</f>
        <v>0</v>
      </c>
      <c r="K16" s="1298"/>
      <c r="L16" s="626"/>
      <c r="N16" s="986"/>
      <c r="O16" s="988"/>
      <c r="P16" s="988"/>
      <c r="Q16" s="988"/>
      <c r="R16" s="988"/>
      <c r="S16" s="988"/>
      <c r="T16" s="988"/>
      <c r="U16" s="988"/>
      <c r="V16" s="988"/>
      <c r="W16" s="988"/>
      <c r="X16" s="988"/>
      <c r="Y16" s="988"/>
      <c r="Z16" s="988"/>
      <c r="AA16" s="989"/>
    </row>
    <row r="17" spans="2:27" ht="24" customHeight="1">
      <c r="B17" s="638"/>
      <c r="C17" s="1322" t="s">
        <v>1030</v>
      </c>
      <c r="D17" s="1323"/>
      <c r="E17" s="485"/>
      <c r="F17" s="486"/>
      <c r="G17" s="487"/>
      <c r="H17" s="487"/>
      <c r="I17" s="488"/>
      <c r="J17" s="806">
        <f>SUM(E17:I17)</f>
        <v>0</v>
      </c>
      <c r="K17" s="1298"/>
      <c r="L17" s="626"/>
      <c r="N17" s="986"/>
      <c r="O17" s="988"/>
      <c r="P17" s="988"/>
      <c r="Q17" s="988"/>
      <c r="R17" s="988"/>
      <c r="S17" s="988"/>
      <c r="T17" s="988"/>
      <c r="U17" s="988"/>
      <c r="V17" s="988"/>
      <c r="W17" s="988"/>
      <c r="X17" s="988"/>
      <c r="Y17" s="988"/>
      <c r="Z17" s="988"/>
      <c r="AA17" s="989"/>
    </row>
    <row r="18" spans="2:27" ht="22.5" customHeight="1">
      <c r="B18" s="638"/>
      <c r="C18" s="1324" t="s">
        <v>1031</v>
      </c>
      <c r="D18" s="1325"/>
      <c r="E18" s="489"/>
      <c r="F18" s="490"/>
      <c r="G18" s="491"/>
      <c r="H18" s="491"/>
      <c r="I18" s="492"/>
      <c r="J18" s="1326">
        <f>SUM(E18:I18)</f>
        <v>0</v>
      </c>
      <c r="K18" s="1299"/>
      <c r="L18" s="626"/>
      <c r="N18" s="986"/>
      <c r="O18" s="988"/>
      <c r="P18" s="988"/>
      <c r="Q18" s="988"/>
      <c r="R18" s="988"/>
      <c r="S18" s="988"/>
      <c r="T18" s="988"/>
      <c r="U18" s="988"/>
      <c r="V18" s="988"/>
      <c r="W18" s="988"/>
      <c r="X18" s="988"/>
      <c r="Y18" s="988"/>
      <c r="Z18" s="988"/>
      <c r="AA18" s="989"/>
    </row>
    <row r="19" spans="2:27" ht="22.5" customHeight="1" thickBot="1">
      <c r="B19" s="638"/>
      <c r="C19" s="971" t="s">
        <v>394</v>
      </c>
      <c r="D19" s="972"/>
      <c r="E19" s="674">
        <f aca="true" t="shared" si="0" ref="E19:J19">SUM(E15:E18)</f>
        <v>0</v>
      </c>
      <c r="F19" s="674">
        <f t="shared" si="0"/>
        <v>0</v>
      </c>
      <c r="G19" s="674">
        <f t="shared" si="0"/>
        <v>0</v>
      </c>
      <c r="H19" s="674">
        <f t="shared" si="0"/>
        <v>0</v>
      </c>
      <c r="I19" s="674">
        <f t="shared" si="0"/>
        <v>0</v>
      </c>
      <c r="J19" s="674">
        <f t="shared" si="0"/>
        <v>0</v>
      </c>
      <c r="K19" s="683"/>
      <c r="L19" s="626"/>
      <c r="N19" s="986"/>
      <c r="O19" s="988"/>
      <c r="P19" s="988"/>
      <c r="Q19" s="988"/>
      <c r="R19" s="988"/>
      <c r="S19" s="988"/>
      <c r="T19" s="988"/>
      <c r="U19" s="988"/>
      <c r="V19" s="988"/>
      <c r="W19" s="988"/>
      <c r="X19" s="988"/>
      <c r="Y19" s="988"/>
      <c r="Z19" s="988"/>
      <c r="AA19" s="989"/>
    </row>
    <row r="20" spans="2:27" ht="7.5" customHeight="1">
      <c r="B20" s="638"/>
      <c r="C20" s="1327"/>
      <c r="D20" s="1327"/>
      <c r="E20" s="979"/>
      <c r="F20" s="979"/>
      <c r="G20" s="979"/>
      <c r="H20" s="979"/>
      <c r="I20" s="979"/>
      <c r="J20" s="979"/>
      <c r="K20" s="979"/>
      <c r="L20" s="626"/>
      <c r="N20" s="986"/>
      <c r="O20" s="988"/>
      <c r="P20" s="988"/>
      <c r="Q20" s="988"/>
      <c r="R20" s="988"/>
      <c r="S20" s="988"/>
      <c r="T20" s="988"/>
      <c r="U20" s="988"/>
      <c r="V20" s="988"/>
      <c r="W20" s="988"/>
      <c r="X20" s="988"/>
      <c r="Y20" s="988"/>
      <c r="Z20" s="988"/>
      <c r="AA20" s="989"/>
    </row>
    <row r="21" spans="2:27" ht="22.5" customHeight="1">
      <c r="B21" s="638"/>
      <c r="C21" s="1310"/>
      <c r="D21" s="1310"/>
      <c r="E21" s="636"/>
      <c r="F21" s="636"/>
      <c r="G21" s="636"/>
      <c r="H21" s="636"/>
      <c r="I21" s="636"/>
      <c r="J21" s="636"/>
      <c r="K21" s="636"/>
      <c r="L21" s="626"/>
      <c r="N21" s="986"/>
      <c r="O21" s="988"/>
      <c r="P21" s="988"/>
      <c r="Q21" s="988"/>
      <c r="R21" s="988"/>
      <c r="S21" s="988"/>
      <c r="T21" s="988"/>
      <c r="U21" s="988"/>
      <c r="V21" s="988"/>
      <c r="W21" s="988"/>
      <c r="X21" s="988"/>
      <c r="Y21" s="988"/>
      <c r="Z21" s="988"/>
      <c r="AA21" s="989"/>
    </row>
    <row r="22" spans="2:27" ht="22.5" customHeight="1">
      <c r="B22" s="638"/>
      <c r="C22" s="1499"/>
      <c r="D22" s="1500"/>
      <c r="E22" s="992" t="s">
        <v>1032</v>
      </c>
      <c r="F22" s="1501" t="s">
        <v>396</v>
      </c>
      <c r="G22" s="1502"/>
      <c r="H22" s="1502"/>
      <c r="I22" s="1503"/>
      <c r="J22" s="992" t="s">
        <v>1033</v>
      </c>
      <c r="K22" s="1504" t="s">
        <v>1044</v>
      </c>
      <c r="L22" s="626"/>
      <c r="N22" s="986"/>
      <c r="O22" s="988"/>
      <c r="P22" s="988"/>
      <c r="Q22" s="988"/>
      <c r="R22" s="988"/>
      <c r="S22" s="988"/>
      <c r="T22" s="988"/>
      <c r="U22" s="988"/>
      <c r="V22" s="988"/>
      <c r="W22" s="988"/>
      <c r="X22" s="988"/>
      <c r="Y22" s="988"/>
      <c r="Z22" s="988"/>
      <c r="AA22" s="989"/>
    </row>
    <row r="23" spans="2:27" ht="24.75">
      <c r="B23" s="638"/>
      <c r="C23" s="1313" t="s">
        <v>1027</v>
      </c>
      <c r="D23" s="1314"/>
      <c r="E23" s="1315">
        <f>ejercicio</f>
        <v>2020</v>
      </c>
      <c r="F23" s="1316" t="s">
        <v>1034</v>
      </c>
      <c r="G23" s="1317" t="s">
        <v>1035</v>
      </c>
      <c r="H23" s="1317" t="s">
        <v>1036</v>
      </c>
      <c r="I23" s="1318" t="s">
        <v>1037</v>
      </c>
      <c r="J23" s="1315">
        <f>ejercicio</f>
        <v>2020</v>
      </c>
      <c r="K23" s="1505"/>
      <c r="L23" s="626"/>
      <c r="N23" s="986"/>
      <c r="O23" s="988"/>
      <c r="P23" s="988"/>
      <c r="Q23" s="988"/>
      <c r="R23" s="988"/>
      <c r="S23" s="988"/>
      <c r="T23" s="988"/>
      <c r="U23" s="988"/>
      <c r="V23" s="988"/>
      <c r="W23" s="988"/>
      <c r="X23" s="988"/>
      <c r="Y23" s="988"/>
      <c r="Z23" s="988"/>
      <c r="AA23" s="989"/>
    </row>
    <row r="24" spans="2:27" ht="22.5" customHeight="1">
      <c r="B24" s="638"/>
      <c r="C24" s="1320" t="s">
        <v>1038</v>
      </c>
      <c r="D24" s="1321"/>
      <c r="E24" s="481"/>
      <c r="F24" s="482"/>
      <c r="G24" s="483"/>
      <c r="H24" s="483"/>
      <c r="I24" s="484"/>
      <c r="J24" s="801">
        <f>SUM(E24:I24)</f>
        <v>0</v>
      </c>
      <c r="K24" s="512"/>
      <c r="L24" s="626"/>
      <c r="N24" s="986"/>
      <c r="O24" s="988"/>
      <c r="P24" s="988"/>
      <c r="Q24" s="988"/>
      <c r="R24" s="988"/>
      <c r="S24" s="988"/>
      <c r="T24" s="988"/>
      <c r="U24" s="988"/>
      <c r="V24" s="988"/>
      <c r="W24" s="988"/>
      <c r="X24" s="988"/>
      <c r="Y24" s="988"/>
      <c r="Z24" s="988"/>
      <c r="AA24" s="989"/>
    </row>
    <row r="25" spans="2:27" ht="22.5" customHeight="1">
      <c r="B25" s="638"/>
      <c r="C25" s="1322" t="s">
        <v>1039</v>
      </c>
      <c r="D25" s="1323"/>
      <c r="E25" s="485"/>
      <c r="F25" s="486"/>
      <c r="G25" s="487"/>
      <c r="H25" s="487"/>
      <c r="I25" s="488"/>
      <c r="J25" s="801">
        <f>SUM(E25:I25)</f>
        <v>0</v>
      </c>
      <c r="K25" s="1298"/>
      <c r="L25" s="626"/>
      <c r="N25" s="986"/>
      <c r="O25" s="988"/>
      <c r="P25" s="988"/>
      <c r="Q25" s="988"/>
      <c r="R25" s="988"/>
      <c r="S25" s="988"/>
      <c r="T25" s="988"/>
      <c r="U25" s="988"/>
      <c r="V25" s="988"/>
      <c r="W25" s="988"/>
      <c r="X25" s="988"/>
      <c r="Y25" s="988"/>
      <c r="Z25" s="988"/>
      <c r="AA25" s="989"/>
    </row>
    <row r="26" spans="2:27" ht="22.5" customHeight="1">
      <c r="B26" s="638"/>
      <c r="C26" s="1322" t="s">
        <v>1040</v>
      </c>
      <c r="D26" s="1323"/>
      <c r="E26" s="485"/>
      <c r="F26" s="486"/>
      <c r="G26" s="487"/>
      <c r="H26" s="487"/>
      <c r="I26" s="488"/>
      <c r="J26" s="801">
        <f>SUM(E26:I26)</f>
        <v>0</v>
      </c>
      <c r="K26" s="1225"/>
      <c r="L26" s="626"/>
      <c r="N26" s="986"/>
      <c r="O26" s="988"/>
      <c r="P26" s="988"/>
      <c r="Q26" s="988"/>
      <c r="R26" s="988"/>
      <c r="S26" s="988"/>
      <c r="T26" s="988"/>
      <c r="U26" s="988"/>
      <c r="V26" s="988"/>
      <c r="W26" s="988"/>
      <c r="X26" s="988"/>
      <c r="Y26" s="988"/>
      <c r="Z26" s="988"/>
      <c r="AA26" s="989"/>
    </row>
    <row r="27" spans="2:27" ht="22.5" customHeight="1">
      <c r="B27" s="638"/>
      <c r="C27" s="1324" t="s">
        <v>1041</v>
      </c>
      <c r="D27" s="1325"/>
      <c r="E27" s="489"/>
      <c r="F27" s="490"/>
      <c r="G27" s="491"/>
      <c r="H27" s="491"/>
      <c r="I27" s="492"/>
      <c r="J27" s="801">
        <f>SUM(E27:I27)</f>
        <v>0</v>
      </c>
      <c r="K27" s="1299"/>
      <c r="L27" s="626"/>
      <c r="N27" s="1328"/>
      <c r="O27" s="1329"/>
      <c r="P27" s="1329"/>
      <c r="Q27" s="1329"/>
      <c r="R27" s="1329"/>
      <c r="S27" s="1329"/>
      <c r="T27" s="1329"/>
      <c r="U27" s="1329"/>
      <c r="V27" s="1329"/>
      <c r="W27" s="1329"/>
      <c r="X27" s="1329"/>
      <c r="Y27" s="1329"/>
      <c r="Z27" s="1329"/>
      <c r="AA27" s="1330"/>
    </row>
    <row r="28" spans="2:27" ht="22.5" customHeight="1" thickBot="1">
      <c r="B28" s="638"/>
      <c r="C28" s="971" t="s">
        <v>394</v>
      </c>
      <c r="D28" s="972"/>
      <c r="E28" s="674">
        <f aca="true" t="shared" si="1" ref="E28:J28">SUM(E24:E27)</f>
        <v>0</v>
      </c>
      <c r="F28" s="674">
        <f t="shared" si="1"/>
        <v>0</v>
      </c>
      <c r="G28" s="674">
        <f t="shared" si="1"/>
        <v>0</v>
      </c>
      <c r="H28" s="674">
        <f t="shared" si="1"/>
        <v>0</v>
      </c>
      <c r="I28" s="674">
        <f t="shared" si="1"/>
        <v>0</v>
      </c>
      <c r="J28" s="674">
        <f t="shared" si="1"/>
        <v>0</v>
      </c>
      <c r="K28" s="683"/>
      <c r="L28" s="626"/>
      <c r="N28" s="1328"/>
      <c r="O28" s="1329"/>
      <c r="P28" s="1329"/>
      <c r="Q28" s="1329"/>
      <c r="R28" s="1329"/>
      <c r="S28" s="1329"/>
      <c r="T28" s="1329"/>
      <c r="U28" s="1329"/>
      <c r="V28" s="1329"/>
      <c r="W28" s="1329"/>
      <c r="X28" s="1329"/>
      <c r="Y28" s="1329"/>
      <c r="Z28" s="1329"/>
      <c r="AA28" s="1330"/>
    </row>
    <row r="29" spans="2:27" ht="9" customHeight="1">
      <c r="B29" s="638"/>
      <c r="C29" s="1327"/>
      <c r="D29" s="1327"/>
      <c r="E29" s="979"/>
      <c r="F29" s="979"/>
      <c r="G29" s="979"/>
      <c r="H29" s="979"/>
      <c r="I29" s="979"/>
      <c r="J29" s="979"/>
      <c r="K29" s="979"/>
      <c r="L29" s="626"/>
      <c r="N29" s="986"/>
      <c r="O29" s="988"/>
      <c r="P29" s="988"/>
      <c r="Q29" s="988"/>
      <c r="R29" s="988"/>
      <c r="S29" s="988"/>
      <c r="T29" s="988"/>
      <c r="U29" s="988"/>
      <c r="V29" s="988"/>
      <c r="W29" s="988"/>
      <c r="X29" s="988"/>
      <c r="Y29" s="988"/>
      <c r="Z29" s="988"/>
      <c r="AA29" s="989"/>
    </row>
    <row r="30" spans="2:27" ht="22.5" customHeight="1">
      <c r="B30" s="638"/>
      <c r="C30" s="1310"/>
      <c r="D30" s="1310"/>
      <c r="E30" s="636"/>
      <c r="F30" s="636"/>
      <c r="G30" s="636"/>
      <c r="H30" s="636"/>
      <c r="I30" s="636"/>
      <c r="J30" s="636"/>
      <c r="K30" s="636"/>
      <c r="L30" s="626"/>
      <c r="N30" s="986"/>
      <c r="O30" s="988"/>
      <c r="P30" s="988"/>
      <c r="Q30" s="988"/>
      <c r="R30" s="988"/>
      <c r="S30" s="988"/>
      <c r="T30" s="988"/>
      <c r="U30" s="988"/>
      <c r="V30" s="988"/>
      <c r="W30" s="988"/>
      <c r="X30" s="988"/>
      <c r="Y30" s="988"/>
      <c r="Z30" s="988"/>
      <c r="AA30" s="989"/>
    </row>
    <row r="31" spans="2:27" ht="22.5" customHeight="1">
      <c r="B31" s="638"/>
      <c r="C31" s="906" t="s">
        <v>729</v>
      </c>
      <c r="D31" s="1278"/>
      <c r="E31" s="696"/>
      <c r="F31" s="696"/>
      <c r="G31" s="696"/>
      <c r="H31" s="696"/>
      <c r="I31" s="696"/>
      <c r="J31" s="696"/>
      <c r="K31" s="636"/>
      <c r="L31" s="626"/>
      <c r="N31" s="986"/>
      <c r="O31" s="988"/>
      <c r="P31" s="988"/>
      <c r="Q31" s="988"/>
      <c r="R31" s="988"/>
      <c r="S31" s="988"/>
      <c r="T31" s="988"/>
      <c r="U31" s="988"/>
      <c r="V31" s="988"/>
      <c r="W31" s="988"/>
      <c r="X31" s="988"/>
      <c r="Y31" s="988"/>
      <c r="Z31" s="988"/>
      <c r="AA31" s="989"/>
    </row>
    <row r="32" spans="2:27" ht="18">
      <c r="B32" s="638"/>
      <c r="C32" s="907" t="s">
        <v>1042</v>
      </c>
      <c r="D32" s="1278"/>
      <c r="E32" s="696"/>
      <c r="F32" s="696"/>
      <c r="G32" s="696"/>
      <c r="H32" s="696"/>
      <c r="I32" s="696"/>
      <c r="J32" s="696"/>
      <c r="K32" s="636"/>
      <c r="L32" s="626"/>
      <c r="N32" s="1016"/>
      <c r="O32" s="1017"/>
      <c r="P32" s="1017"/>
      <c r="Q32" s="1017"/>
      <c r="R32" s="1017"/>
      <c r="S32" s="1017"/>
      <c r="T32" s="1017"/>
      <c r="U32" s="1017"/>
      <c r="V32" s="1017"/>
      <c r="W32" s="1017"/>
      <c r="X32" s="1017"/>
      <c r="Y32" s="1017"/>
      <c r="Z32" s="1017"/>
      <c r="AA32" s="1018"/>
    </row>
    <row r="33" spans="2:27" ht="9" customHeight="1">
      <c r="B33" s="638"/>
      <c r="C33" s="1011"/>
      <c r="D33" s="1278"/>
      <c r="E33" s="696"/>
      <c r="F33" s="696"/>
      <c r="G33" s="696"/>
      <c r="H33" s="696"/>
      <c r="I33" s="696"/>
      <c r="J33" s="696"/>
      <c r="K33" s="636"/>
      <c r="L33" s="626"/>
      <c r="N33" s="1016"/>
      <c r="O33" s="1017"/>
      <c r="P33" s="1017"/>
      <c r="Q33" s="1017"/>
      <c r="R33" s="1017"/>
      <c r="S33" s="1017"/>
      <c r="T33" s="1017"/>
      <c r="U33" s="1017"/>
      <c r="V33" s="1017"/>
      <c r="W33" s="1017"/>
      <c r="X33" s="1017"/>
      <c r="Y33" s="1017"/>
      <c r="Z33" s="1017"/>
      <c r="AA33" s="1018"/>
    </row>
    <row r="34" spans="2:27" ht="18">
      <c r="B34" s="638"/>
      <c r="C34" s="1011" t="s">
        <v>1043</v>
      </c>
      <c r="D34" s="1278"/>
      <c r="E34" s="696"/>
      <c r="F34" s="696"/>
      <c r="G34" s="696"/>
      <c r="H34" s="696"/>
      <c r="I34" s="696"/>
      <c r="J34" s="696"/>
      <c r="K34" s="636"/>
      <c r="L34" s="626"/>
      <c r="N34" s="1016"/>
      <c r="O34" s="1017"/>
      <c r="P34" s="1017"/>
      <c r="Q34" s="1017"/>
      <c r="R34" s="1017"/>
      <c r="S34" s="1017"/>
      <c r="T34" s="1017"/>
      <c r="U34" s="1017"/>
      <c r="V34" s="1017"/>
      <c r="W34" s="1017"/>
      <c r="X34" s="1017"/>
      <c r="Y34" s="1017"/>
      <c r="Z34" s="1017"/>
      <c r="AA34" s="1018"/>
    </row>
    <row r="35" spans="2:27" ht="22.5" customHeight="1" thickBot="1">
      <c r="B35" s="697"/>
      <c r="C35" s="1351"/>
      <c r="D35" s="1351"/>
      <c r="E35" s="1351"/>
      <c r="F35" s="1351"/>
      <c r="G35" s="1297"/>
      <c r="H35" s="1297"/>
      <c r="I35" s="1297"/>
      <c r="J35" s="1297"/>
      <c r="K35" s="1300"/>
      <c r="L35" s="699"/>
      <c r="N35" s="1022"/>
      <c r="O35" s="1023"/>
      <c r="P35" s="1023"/>
      <c r="Q35" s="1023"/>
      <c r="R35" s="1023"/>
      <c r="S35" s="1023"/>
      <c r="T35" s="1023"/>
      <c r="U35" s="1023"/>
      <c r="V35" s="1023"/>
      <c r="W35" s="1023"/>
      <c r="X35" s="1023"/>
      <c r="Y35" s="1023"/>
      <c r="Z35" s="1023"/>
      <c r="AA35" s="1024"/>
    </row>
    <row r="36" spans="3:13" ht="22.5" customHeight="1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936</v>
      </c>
    </row>
    <row r="37" spans="3:11" ht="12.75">
      <c r="C37" s="700" t="s">
        <v>70</v>
      </c>
      <c r="D37" s="624"/>
      <c r="E37" s="625"/>
      <c r="F37" s="625"/>
      <c r="G37" s="625"/>
      <c r="H37" s="625"/>
      <c r="I37" s="625"/>
      <c r="J37" s="625"/>
      <c r="K37" s="1025" t="s">
        <v>1047</v>
      </c>
    </row>
    <row r="38" spans="3:11" ht="12.7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3:11" ht="12.7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3:11" ht="12.7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3:11" ht="12.7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3:11" ht="22.5" customHeight="1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3:11" ht="22.5" customHeight="1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3:11" ht="22.5" customHeight="1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3:11" ht="22.5" customHeight="1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6:11" ht="22.5" customHeight="1">
      <c r="F46" s="625"/>
      <c r="G46" s="625"/>
      <c r="H46" s="625"/>
      <c r="I46" s="625"/>
      <c r="J46" s="625"/>
      <c r="K46" s="625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E30" sqref="E30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12.214843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44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44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58" t="str">
        <f>Entidad</f>
        <v>INSTITUTO VOLCANOLOGICO DE CANARIAS SAU</v>
      </c>
      <c r="E9" s="1358"/>
      <c r="F9" s="1358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29"/>
      <c r="D12" s="1429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17" t="s">
        <v>443</v>
      </c>
      <c r="D14" s="1419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06" t="s">
        <v>589</v>
      </c>
      <c r="D16" s="1507"/>
      <c r="E16" s="298">
        <f>SUM(E17:E19)</f>
        <v>7000</v>
      </c>
      <c r="F16" s="301">
        <f>E16/$E$33</f>
        <v>0.011183043464320268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7">
        <f>+'FC-3_1_INF_ADIC_CPyG'!K16+'FC-3_1_INF_ADIC_CPyG'!K19</f>
        <v>7000</v>
      </c>
      <c r="F17" s="302">
        <f>E17/$E$33</f>
        <v>0.011183043464320268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7">
        <f>+'FC-3_1_INF_ADIC_CPyG'!K31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06" t="s">
        <v>596</v>
      </c>
      <c r="D21" s="1507"/>
      <c r="E21" s="1288">
        <f>+'FC-3_1_INF_ADIC_CPyG'!K40</f>
        <v>10000</v>
      </c>
      <c r="F21" s="306">
        <f>E21/$E$33</f>
        <v>0.015975776377600382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06" t="s">
        <v>597</v>
      </c>
      <c r="D23" s="1507"/>
      <c r="E23" s="298">
        <f>SUM(E24:E26)</f>
        <v>599347.67</v>
      </c>
      <c r="F23" s="306">
        <f>E23/$E$33</f>
        <v>0.957504434835583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7">
        <f>'FC-3_1_INF_ADIC_CPyG'!G81</f>
        <v>0</v>
      </c>
      <c r="F24" s="302">
        <f>E24/$E$33</f>
        <v>0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7">
        <f>+'FC-3_1_INF_ADIC_CPyG'!G78+'FC-3_1_INF_ADIC_CPyG'!G79+'FC-3_1_INF_ADIC_CPyG'!G80+'FC-3_1_INF_ADIC_CPyG'!G83</f>
        <v>454993.13</v>
      </c>
      <c r="F25" s="303">
        <f>E25/$E$33</f>
        <v>0.726886849822446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8">
        <f>+'FC-3_1_INF_ADIC_CPyG'!G82</f>
        <v>144354.54</v>
      </c>
      <c r="F26" s="304">
        <f>E26/$E$33</f>
        <v>0.23061758501313695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06" t="s">
        <v>601</v>
      </c>
      <c r="D28" s="1507"/>
      <c r="E28" s="298">
        <f>SUM(E29:E31)</f>
        <v>9600</v>
      </c>
      <c r="F28" s="306">
        <f>E28/$E$33</f>
        <v>0.015336745322496367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341" t="s">
        <v>1121</v>
      </c>
      <c r="E29" s="513">
        <f>'FC-3_CPyG'!G28</f>
        <v>9600</v>
      </c>
      <c r="F29" s="302">
        <f>E29/$E$33</f>
        <v>0.015336745322496367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89"/>
      <c r="E30" s="513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87"/>
      <c r="E31" s="516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08" t="s">
        <v>602</v>
      </c>
      <c r="D33" s="1509"/>
      <c r="E33" s="294">
        <f>E28+E23+E21+E16</f>
        <v>625947.67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57"/>
      <c r="D40" s="1357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8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18">
      <selection activeCell="H74" sqref="H74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44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44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58" t="str">
        <f>Entidad</f>
        <v>INSTITUTO VOLCANOLOGICO DE CANARIAS SAU</v>
      </c>
      <c r="E9" s="1358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29"/>
      <c r="D12" s="1429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17" t="s">
        <v>618</v>
      </c>
      <c r="D14" s="1419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26600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974347.67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0</v>
      </c>
      <c r="F20" s="188"/>
    </row>
    <row r="21" spans="2:6" s="189" customFormat="1" ht="22.5" customHeight="1">
      <c r="B21" s="187"/>
      <c r="C21" s="1506" t="s">
        <v>609</v>
      </c>
      <c r="D21" s="1507"/>
      <c r="E21" s="298">
        <f>SUM(E16:E20)</f>
        <v>1000947.67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243002.88</v>
      </c>
      <c r="F24" s="188"/>
    </row>
    <row r="25" spans="2:6" s="189" customFormat="1" ht="22.5" customHeight="1">
      <c r="B25" s="187"/>
      <c r="C25" s="1506" t="s">
        <v>612</v>
      </c>
      <c r="D25" s="1507"/>
      <c r="E25" s="298">
        <f>SUM(E23:E24)</f>
        <v>243002.88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06" t="s">
        <v>615</v>
      </c>
      <c r="D29" s="1507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10" t="s">
        <v>616</v>
      </c>
      <c r="D31" s="1511"/>
      <c r="E31" s="307">
        <f>E21+E25+E29</f>
        <v>1243950.55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06" t="s">
        <v>617</v>
      </c>
      <c r="D33" s="1507"/>
      <c r="E33" s="298">
        <f>'_FC-90_DETALLE'!H72</f>
        <v>325869.4</v>
      </c>
      <c r="F33" s="188"/>
    </row>
    <row r="34" spans="2:6" s="189" customFormat="1" ht="9" customHeight="1">
      <c r="B34" s="187"/>
      <c r="C34" s="21"/>
      <c r="D34" s="1239"/>
      <c r="E34" s="151"/>
      <c r="F34" s="188"/>
    </row>
    <row r="35" spans="2:6" s="308" customFormat="1" ht="22.5" customHeight="1" thickBot="1">
      <c r="B35" s="110"/>
      <c r="C35" s="1510" t="s">
        <v>616</v>
      </c>
      <c r="D35" s="1511"/>
      <c r="E35" s="307">
        <f>E31+E33</f>
        <v>1569819.9500000002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17" t="s">
        <v>619</v>
      </c>
      <c r="D37" s="1419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590295.87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386842.22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06" t="s">
        <v>623</v>
      </c>
      <c r="D43" s="1507"/>
      <c r="E43" s="298">
        <f>SUM(E39:E42)</f>
        <v>977138.09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266826.91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06" t="s">
        <v>625</v>
      </c>
      <c r="D47" s="1507"/>
      <c r="E47" s="298">
        <f>SUM(E45:E46)</f>
        <v>266826.91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0</v>
      </c>
      <c r="F50" s="188"/>
    </row>
    <row r="51" spans="2:6" s="189" customFormat="1" ht="22.5" customHeight="1">
      <c r="B51" s="187"/>
      <c r="C51" s="1506" t="s">
        <v>626</v>
      </c>
      <c r="D51" s="1507"/>
      <c r="E51" s="298">
        <f>SUM(E49:E50)</f>
        <v>0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10" t="s">
        <v>627</v>
      </c>
      <c r="D53" s="1511"/>
      <c r="E53" s="307">
        <f>E43+E47+E51</f>
        <v>1243965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06" t="s">
        <v>628</v>
      </c>
      <c r="D55" s="1507"/>
      <c r="E55" s="298">
        <f>'_FC-90_DETALLE'!H152</f>
        <v>328052.5</v>
      </c>
      <c r="F55" s="188"/>
    </row>
    <row r="56" spans="2:6" s="189" customFormat="1" ht="9" customHeight="1">
      <c r="B56" s="187"/>
      <c r="C56" s="21"/>
      <c r="D56" s="1239"/>
      <c r="E56" s="151"/>
      <c r="F56" s="188"/>
    </row>
    <row r="57" spans="2:6" s="189" customFormat="1" ht="24" customHeight="1" thickBot="1">
      <c r="B57" s="187"/>
      <c r="C57" s="1510" t="s">
        <v>627</v>
      </c>
      <c r="D57" s="1511"/>
      <c r="E57" s="307">
        <f>E53+E55</f>
        <v>1572017.5</v>
      </c>
      <c r="F57" s="188"/>
    </row>
    <row r="58" spans="2:6" s="189" customFormat="1" ht="24" customHeight="1">
      <c r="B58" s="187"/>
      <c r="C58" s="21"/>
      <c r="D58" s="1239"/>
      <c r="E58" s="151"/>
      <c r="F58" s="188"/>
    </row>
    <row r="59" spans="2:6" s="189" customFormat="1" ht="24" customHeight="1" thickBot="1">
      <c r="B59" s="187"/>
      <c r="C59" s="1240" t="s">
        <v>998</v>
      </c>
      <c r="D59" s="1241"/>
      <c r="E59" s="1242">
        <f>E35-E57</f>
        <v>-2197.5499999998137</v>
      </c>
      <c r="F59" s="188"/>
    </row>
    <row r="60" spans="2:6" s="189" customFormat="1" ht="24" customHeight="1" thickTop="1">
      <c r="B60" s="187"/>
      <c r="C60" s="21"/>
      <c r="D60" s="1239"/>
      <c r="E60" s="151"/>
      <c r="F60" s="188"/>
    </row>
    <row r="61" spans="2:6" s="189" customFormat="1" ht="24" customHeight="1" thickBot="1">
      <c r="B61" s="187"/>
      <c r="C61" s="1240" t="s">
        <v>999</v>
      </c>
      <c r="D61" s="1241"/>
      <c r="E61" s="1242">
        <f>'_FC-90_DETALLE'!H170</f>
        <v>2197.549999999639</v>
      </c>
      <c r="F61" s="188"/>
    </row>
    <row r="62" spans="2:6" s="189" customFormat="1" ht="24" customHeight="1" thickTop="1">
      <c r="B62" s="187"/>
      <c r="C62" s="21"/>
      <c r="D62" s="1239"/>
      <c r="E62" s="151"/>
      <c r="F62" s="188"/>
    </row>
    <row r="63" spans="2:6" s="189" customFormat="1" ht="24" customHeight="1" thickBot="1">
      <c r="B63" s="187"/>
      <c r="C63" s="1240" t="s">
        <v>1000</v>
      </c>
      <c r="D63" s="1241"/>
      <c r="E63" s="1242">
        <f>+E59+E61</f>
        <v>-1.7462298274040222E-10</v>
      </c>
      <c r="F63" s="188"/>
    </row>
    <row r="64" spans="2:8" ht="22.5" customHeight="1" thickBot="1" thickTop="1">
      <c r="B64" s="120"/>
      <c r="C64" s="1357"/>
      <c r="D64" s="1357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87" sqref="D87"/>
    </sheetView>
  </sheetViews>
  <sheetFormatPr defaultColWidth="10.77734375" defaultRowHeight="22.5" customHeight="1"/>
  <cols>
    <col min="1" max="2" width="3.21484375" style="617" customWidth="1"/>
    <col min="3" max="3" width="13.21484375" style="617" customWidth="1"/>
    <col min="4" max="4" width="88.21484375" style="617" customWidth="1"/>
    <col min="5" max="7" width="21.77734375" style="1027" customWidth="1"/>
    <col min="8" max="8" width="21.77734375" style="617" customWidth="1"/>
    <col min="9" max="9" width="3.21484375" style="617" customWidth="1"/>
    <col min="10" max="10" width="9.99609375" style="617" customWidth="1"/>
    <col min="11" max="11" width="61.99609375" style="617" customWidth="1"/>
    <col min="12" max="16384" width="10.77734375" style="617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29"/>
      <c r="F2" s="1029"/>
      <c r="G2" s="1029"/>
    </row>
    <row r="3" spans="4:7" ht="28.5" customHeight="1">
      <c r="D3" s="311" t="str">
        <f>_GENERAL!D3</f>
        <v>Dirección Insular de Hacienda</v>
      </c>
      <c r="E3" s="1029"/>
      <c r="F3" s="1029"/>
      <c r="G3" s="1029"/>
    </row>
    <row r="4" ht="18" customHeight="1" thickBot="1"/>
    <row r="5" spans="2:9" ht="12.75">
      <c r="B5" s="1030"/>
      <c r="C5" s="620"/>
      <c r="D5" s="620"/>
      <c r="E5" s="1031"/>
      <c r="F5" s="1031"/>
      <c r="G5" s="1031"/>
      <c r="H5" s="620"/>
      <c r="I5" s="1032"/>
    </row>
    <row r="6" spans="2:9" ht="15.75">
      <c r="B6" s="1033"/>
      <c r="C6" s="1034" t="s">
        <v>0</v>
      </c>
      <c r="D6" s="625"/>
      <c r="E6" s="1035"/>
      <c r="F6" s="1035"/>
      <c r="G6" s="1035"/>
      <c r="H6" s="1534">
        <f>ejercicio</f>
        <v>2020</v>
      </c>
      <c r="I6" s="1036"/>
    </row>
    <row r="7" spans="2:9" ht="15.75">
      <c r="B7" s="1033"/>
      <c r="C7" s="1034" t="s">
        <v>1</v>
      </c>
      <c r="D7" s="625"/>
      <c r="E7" s="1035"/>
      <c r="F7" s="1035"/>
      <c r="G7" s="1035"/>
      <c r="H7" s="1534"/>
      <c r="I7" s="1036"/>
    </row>
    <row r="8" spans="2:9" ht="12.75">
      <c r="B8" s="1033"/>
      <c r="C8" s="1037"/>
      <c r="D8" s="625"/>
      <c r="E8" s="1035"/>
      <c r="F8" s="1035"/>
      <c r="G8" s="1035"/>
      <c r="H8" s="1013"/>
      <c r="I8" s="1036"/>
    </row>
    <row r="9" spans="2:9" s="1041" customFormat="1" ht="21.75" customHeight="1">
      <c r="B9" s="1038"/>
      <c r="C9" s="1039" t="s">
        <v>2</v>
      </c>
      <c r="D9" s="1535" t="str">
        <f>Entidad</f>
        <v>INSTITUTO VOLCANOLOGICO DE CANARIAS SAU</v>
      </c>
      <c r="E9" s="1535"/>
      <c r="F9" s="1535"/>
      <c r="G9" s="1535"/>
      <c r="H9" s="1535"/>
      <c r="I9" s="1040"/>
    </row>
    <row r="10" spans="2:9" ht="12.75">
      <c r="B10" s="1033"/>
      <c r="C10" s="625"/>
      <c r="D10" s="625"/>
      <c r="E10" s="1035"/>
      <c r="F10" s="1035"/>
      <c r="G10" s="1035"/>
      <c r="H10" s="625"/>
      <c r="I10" s="1036"/>
    </row>
    <row r="11" spans="2:9" s="1045" customFormat="1" ht="27" customHeight="1">
      <c r="B11" s="1042"/>
      <c r="C11" s="634" t="s">
        <v>603</v>
      </c>
      <c r="D11" s="634"/>
      <c r="E11" s="1043"/>
      <c r="F11" s="1043"/>
      <c r="G11" s="1043"/>
      <c r="H11" s="634"/>
      <c r="I11" s="1044"/>
    </row>
    <row r="12" spans="2:9" s="1045" customFormat="1" ht="18">
      <c r="B12" s="1042"/>
      <c r="C12" s="1536"/>
      <c r="D12" s="1536"/>
      <c r="E12" s="1029"/>
      <c r="F12" s="1029"/>
      <c r="G12" s="1029"/>
      <c r="H12" s="636"/>
      <c r="I12" s="1044"/>
    </row>
    <row r="13" spans="2:9" ht="18">
      <c r="B13" s="1046"/>
      <c r="C13" s="1047"/>
      <c r="D13" s="1047"/>
      <c r="E13" s="1029"/>
      <c r="F13" s="1029"/>
      <c r="G13" s="1029"/>
      <c r="H13" s="636"/>
      <c r="I13" s="1036"/>
    </row>
    <row r="14" spans="2:11" s="1051" customFormat="1" ht="23.25">
      <c r="B14" s="1048"/>
      <c r="C14" s="1521" t="s">
        <v>618</v>
      </c>
      <c r="D14" s="1522"/>
      <c r="E14" s="1049" t="s">
        <v>822</v>
      </c>
      <c r="F14" s="1049" t="s">
        <v>823</v>
      </c>
      <c r="G14" s="1049" t="s">
        <v>899</v>
      </c>
      <c r="H14" s="649" t="s">
        <v>897</v>
      </c>
      <c r="I14" s="1050"/>
      <c r="K14" s="649" t="s">
        <v>900</v>
      </c>
    </row>
    <row r="15" spans="2:9" ht="18">
      <c r="B15" s="1046"/>
      <c r="C15" s="1052"/>
      <c r="D15" s="1047"/>
      <c r="E15" s="1029"/>
      <c r="F15" s="1029"/>
      <c r="G15" s="1029"/>
      <c r="H15" s="636"/>
      <c r="I15" s="1036"/>
    </row>
    <row r="16" spans="2:11" s="1059" customFormat="1" ht="18">
      <c r="B16" s="1053"/>
      <c r="C16" s="1054" t="s">
        <v>182</v>
      </c>
      <c r="D16" s="1055" t="s">
        <v>604</v>
      </c>
      <c r="E16" s="1056">
        <v>0</v>
      </c>
      <c r="F16" s="1056">
        <v>0</v>
      </c>
      <c r="G16" s="1056">
        <v>0</v>
      </c>
      <c r="H16" s="1057">
        <f>SUM(E16:G16)</f>
        <v>0</v>
      </c>
      <c r="I16" s="1058"/>
      <c r="K16" s="1181"/>
    </row>
    <row r="17" spans="2:11" s="1059" customFormat="1" ht="18">
      <c r="B17" s="1053"/>
      <c r="C17" s="1054" t="s">
        <v>192</v>
      </c>
      <c r="D17" s="1055" t="s">
        <v>605</v>
      </c>
      <c r="E17" s="1056">
        <v>0</v>
      </c>
      <c r="F17" s="1056">
        <v>0</v>
      </c>
      <c r="G17" s="1056">
        <v>0</v>
      </c>
      <c r="H17" s="1057">
        <f>SUM(E17:G17)</f>
        <v>0</v>
      </c>
      <c r="I17" s="1058"/>
      <c r="K17" s="1181"/>
    </row>
    <row r="18" spans="2:11" s="1059" customFormat="1" ht="18">
      <c r="B18" s="1053"/>
      <c r="C18" s="1054" t="s">
        <v>197</v>
      </c>
      <c r="D18" s="1055" t="s">
        <v>606</v>
      </c>
      <c r="E18" s="1056">
        <f>SUM(E19:E25)</f>
        <v>26600</v>
      </c>
      <c r="F18" s="1056">
        <f>SUM(F19:F25)</f>
        <v>0</v>
      </c>
      <c r="G18" s="1056">
        <f>SUM(G19:G25)</f>
        <v>0</v>
      </c>
      <c r="H18" s="1056">
        <f>SUM(H19:H25)</f>
        <v>26600</v>
      </c>
      <c r="I18" s="1058"/>
      <c r="K18" s="1181"/>
    </row>
    <row r="19" spans="2:11" s="1066" customFormat="1" ht="18" hidden="1">
      <c r="B19" s="1046"/>
      <c r="C19" s="1060" t="s">
        <v>40</v>
      </c>
      <c r="D19" s="1061" t="s">
        <v>824</v>
      </c>
      <c r="E19" s="1062">
        <f>'FC-3_CPyG'!G16</f>
        <v>17000</v>
      </c>
      <c r="F19" s="1063"/>
      <c r="G19" s="1167"/>
      <c r="H19" s="1064">
        <f aca="true" t="shared" si="0" ref="H19:H25">SUM(E19:G19)</f>
        <v>17000</v>
      </c>
      <c r="I19" s="1065"/>
      <c r="K19" s="1181"/>
    </row>
    <row r="20" spans="2:11" s="1066" customFormat="1" ht="18" hidden="1">
      <c r="B20" s="1046"/>
      <c r="C20" s="1060" t="s">
        <v>46</v>
      </c>
      <c r="D20" s="1061" t="s">
        <v>825</v>
      </c>
      <c r="E20" s="1062">
        <f>'FC-3_1_INF_ADIC_CPyG'!G74</f>
        <v>0</v>
      </c>
      <c r="F20" s="1063"/>
      <c r="G20" s="1167"/>
      <c r="H20" s="1064">
        <f t="shared" si="0"/>
        <v>0</v>
      </c>
      <c r="I20" s="1065"/>
      <c r="K20" s="1181"/>
    </row>
    <row r="21" spans="2:11" s="1066" customFormat="1" ht="18" hidden="1">
      <c r="B21" s="1046"/>
      <c r="C21" s="1060" t="s">
        <v>46</v>
      </c>
      <c r="D21" s="1061" t="s">
        <v>826</v>
      </c>
      <c r="E21" s="1062">
        <f>'FC-3_1_INF_ADIC_CPyG'!G76</f>
        <v>9600</v>
      </c>
      <c r="F21" s="1063"/>
      <c r="G21" s="1167"/>
      <c r="H21" s="1064">
        <f t="shared" si="0"/>
        <v>9600</v>
      </c>
      <c r="I21" s="1065"/>
      <c r="K21" s="1181"/>
    </row>
    <row r="22" spans="2:12" s="1066" customFormat="1" ht="18" hidden="1">
      <c r="B22" s="1046"/>
      <c r="C22" s="1060" t="s">
        <v>46</v>
      </c>
      <c r="D22" s="1061" t="s">
        <v>1016</v>
      </c>
      <c r="E22" s="1062">
        <f>'FC-3_1_INF_ADIC_CPyG'!G48</f>
        <v>0</v>
      </c>
      <c r="F22" s="1063"/>
      <c r="G22" s="1167"/>
      <c r="H22" s="1064">
        <f t="shared" si="0"/>
        <v>0</v>
      </c>
      <c r="I22" s="1065"/>
      <c r="K22" s="1181"/>
      <c r="L22" s="1067"/>
    </row>
    <row r="23" spans="2:12" s="1066" customFormat="1" ht="18" hidden="1">
      <c r="B23" s="1046"/>
      <c r="C23" s="1060"/>
      <c r="D23" s="1061" t="s">
        <v>827</v>
      </c>
      <c r="E23" s="1063"/>
      <c r="F23" s="1063"/>
      <c r="G23" s="1167"/>
      <c r="H23" s="1064">
        <f t="shared" si="0"/>
        <v>0</v>
      </c>
      <c r="I23" s="1065"/>
      <c r="K23" s="1181"/>
      <c r="L23" s="1067" t="s">
        <v>953</v>
      </c>
    </row>
    <row r="24" spans="2:12" s="1066" customFormat="1" ht="18" hidden="1">
      <c r="B24" s="1046"/>
      <c r="C24" s="1176"/>
      <c r="D24" s="1185"/>
      <c r="E24" s="1063"/>
      <c r="F24" s="1063"/>
      <c r="G24" s="1167"/>
      <c r="H24" s="1064">
        <f t="shared" si="0"/>
        <v>0</v>
      </c>
      <c r="I24" s="1065"/>
      <c r="K24" s="1181"/>
      <c r="L24" s="1067"/>
    </row>
    <row r="25" spans="2:12" s="1066" customFormat="1" ht="18" hidden="1">
      <c r="B25" s="1046"/>
      <c r="C25" s="1176"/>
      <c r="D25" s="1185"/>
      <c r="E25" s="1063"/>
      <c r="F25" s="1063"/>
      <c r="G25" s="1167"/>
      <c r="H25" s="1064">
        <f t="shared" si="0"/>
        <v>0</v>
      </c>
      <c r="I25" s="1065"/>
      <c r="K25" s="1181"/>
      <c r="L25" s="1067"/>
    </row>
    <row r="26" spans="2:11" s="1059" customFormat="1" ht="18">
      <c r="B26" s="1053"/>
      <c r="C26" s="1054" t="s">
        <v>201</v>
      </c>
      <c r="D26" s="1055" t="s">
        <v>607</v>
      </c>
      <c r="E26" s="1056">
        <f>SUM(E27:E30)</f>
        <v>599347.67</v>
      </c>
      <c r="F26" s="1056">
        <f>SUM(F27:F30)</f>
        <v>375000</v>
      </c>
      <c r="G26" s="1056">
        <f>SUM(G27:G30)</f>
        <v>0</v>
      </c>
      <c r="H26" s="1056">
        <f>SUM(H27:H30)</f>
        <v>974347.67</v>
      </c>
      <c r="I26" s="1058"/>
      <c r="K26" s="1181"/>
    </row>
    <row r="27" spans="2:11" s="1066" customFormat="1" ht="18" hidden="1">
      <c r="B27" s="1046"/>
      <c r="C27" s="1060" t="s">
        <v>40</v>
      </c>
      <c r="D27" s="1061" t="s">
        <v>828</v>
      </c>
      <c r="E27" s="1062">
        <f>'FC-3_CPyG'!G29</f>
        <v>599347.67</v>
      </c>
      <c r="F27" s="1063"/>
      <c r="G27" s="1167"/>
      <c r="H27" s="1064">
        <f>SUM(E27:G27)</f>
        <v>599347.67</v>
      </c>
      <c r="I27" s="1065"/>
      <c r="K27" s="1181"/>
    </row>
    <row r="28" spans="2:12" s="1066" customFormat="1" ht="18" hidden="1">
      <c r="B28" s="1046"/>
      <c r="C28" s="1060" t="s">
        <v>53</v>
      </c>
      <c r="D28" s="1079" t="s">
        <v>829</v>
      </c>
      <c r="E28" s="1063"/>
      <c r="F28" s="1080">
        <f>'FC-9_TRANS_SUBV'!H74</f>
        <v>375000</v>
      </c>
      <c r="G28" s="1167"/>
      <c r="H28" s="1064">
        <f>SUM(E28:G28)</f>
        <v>375000</v>
      </c>
      <c r="I28" s="1065"/>
      <c r="K28" s="1181"/>
      <c r="L28" s="1067"/>
    </row>
    <row r="29" spans="2:12" s="1066" customFormat="1" ht="18" hidden="1">
      <c r="B29" s="1046"/>
      <c r="C29" s="1176"/>
      <c r="D29" s="1185"/>
      <c r="E29" s="1063"/>
      <c r="F29" s="1063"/>
      <c r="G29" s="1167"/>
      <c r="H29" s="1064">
        <f>SUM(E29:G29)</f>
        <v>0</v>
      </c>
      <c r="I29" s="1065"/>
      <c r="K29" s="1181"/>
      <c r="L29" s="1067"/>
    </row>
    <row r="30" spans="2:11" s="1066" customFormat="1" ht="18" hidden="1">
      <c r="B30" s="1046"/>
      <c r="C30" s="1178"/>
      <c r="D30" s="1186"/>
      <c r="E30" s="1063"/>
      <c r="F30" s="1063"/>
      <c r="G30" s="1168"/>
      <c r="H30" s="1064">
        <f>SUM(E30:G30)</f>
        <v>0</v>
      </c>
      <c r="I30" s="1065"/>
      <c r="K30" s="1181"/>
    </row>
    <row r="31" spans="2:11" s="1059" customFormat="1" ht="18">
      <c r="B31" s="1053"/>
      <c r="C31" s="1054" t="s">
        <v>209</v>
      </c>
      <c r="D31" s="1055" t="s">
        <v>608</v>
      </c>
      <c r="E31" s="1056">
        <f>SUM(E32:E38)</f>
        <v>0</v>
      </c>
      <c r="F31" s="1056">
        <f>SUM(F32:F38)</f>
        <v>0</v>
      </c>
      <c r="G31" s="1056">
        <f>SUM(G32:G38)</f>
        <v>0</v>
      </c>
      <c r="H31" s="1056">
        <f>SUM(H32:H38)</f>
        <v>0</v>
      </c>
      <c r="I31" s="1058"/>
      <c r="K31" s="1181"/>
    </row>
    <row r="32" spans="2:11" s="1066" customFormat="1" ht="18" hidden="1">
      <c r="B32" s="1046"/>
      <c r="C32" s="1068" t="s">
        <v>46</v>
      </c>
      <c r="D32" s="1069" t="s">
        <v>830</v>
      </c>
      <c r="E32" s="1070">
        <f>'FC-3_1_INF_ADIC_CPyG'!G75</f>
        <v>0</v>
      </c>
      <c r="F32" s="1063"/>
      <c r="G32" s="1169"/>
      <c r="H32" s="1064">
        <f>SUM(E32:G32)</f>
        <v>0</v>
      </c>
      <c r="I32" s="1065"/>
      <c r="K32" s="1181"/>
    </row>
    <row r="33" spans="2:11" s="1073" customFormat="1" ht="18" hidden="1">
      <c r="B33" s="1071"/>
      <c r="C33" s="1060" t="s">
        <v>40</v>
      </c>
      <c r="D33" s="1061" t="s">
        <v>831</v>
      </c>
      <c r="E33" s="1062">
        <f>'FC-3_CPyG'!G52</f>
        <v>0</v>
      </c>
      <c r="F33" s="1063"/>
      <c r="G33" s="1167"/>
      <c r="H33" s="1064">
        <f aca="true" t="shared" si="1" ref="H33:H38">SUM(E33:G33)</f>
        <v>0</v>
      </c>
      <c r="I33" s="1072"/>
      <c r="K33" s="1181"/>
    </row>
    <row r="34" spans="2:11" s="1073" customFormat="1" ht="18" hidden="1">
      <c r="B34" s="1071"/>
      <c r="C34" s="1060" t="s">
        <v>40</v>
      </c>
      <c r="D34" s="1061" t="s">
        <v>832</v>
      </c>
      <c r="E34" s="1062">
        <f>'FC-3_CPyG'!G55</f>
        <v>0</v>
      </c>
      <c r="F34" s="1063"/>
      <c r="G34" s="1167"/>
      <c r="H34" s="1064">
        <f t="shared" si="1"/>
        <v>0</v>
      </c>
      <c r="I34" s="1072"/>
      <c r="K34" s="1181"/>
    </row>
    <row r="35" spans="2:11" s="1073" customFormat="1" ht="18" hidden="1">
      <c r="B35" s="1071"/>
      <c r="C35" s="1060" t="s">
        <v>40</v>
      </c>
      <c r="D35" s="1061" t="s">
        <v>833</v>
      </c>
      <c r="E35" s="1062">
        <f>'FC-3_CPyG'!G72</f>
        <v>0</v>
      </c>
      <c r="F35" s="1063"/>
      <c r="G35" s="1167"/>
      <c r="H35" s="1064">
        <f t="shared" si="1"/>
        <v>0</v>
      </c>
      <c r="I35" s="1072"/>
      <c r="K35" s="1181"/>
    </row>
    <row r="36" spans="2:11" s="1073" customFormat="1" ht="18" hidden="1">
      <c r="B36" s="1071"/>
      <c r="C36" s="1060" t="s">
        <v>40</v>
      </c>
      <c r="D36" s="1061" t="s">
        <v>834</v>
      </c>
      <c r="E36" s="1062">
        <f>+'FC-3_CPyG'!G73</f>
        <v>0</v>
      </c>
      <c r="F36" s="1063"/>
      <c r="G36" s="1167"/>
      <c r="H36" s="1064">
        <f t="shared" si="1"/>
        <v>0</v>
      </c>
      <c r="I36" s="1072"/>
      <c r="K36" s="1181"/>
    </row>
    <row r="37" spans="2:11" s="1073" customFormat="1" ht="18" hidden="1">
      <c r="B37" s="1071"/>
      <c r="C37" s="1176"/>
      <c r="D37" s="1185"/>
      <c r="E37" s="1063"/>
      <c r="F37" s="1063"/>
      <c r="G37" s="1167"/>
      <c r="H37" s="1064">
        <f t="shared" si="1"/>
        <v>0</v>
      </c>
      <c r="I37" s="1072"/>
      <c r="K37" s="1181"/>
    </row>
    <row r="38" spans="2:11" s="1073" customFormat="1" ht="18">
      <c r="B38" s="1071"/>
      <c r="C38" s="1178"/>
      <c r="D38" s="1187"/>
      <c r="E38" s="1063"/>
      <c r="F38" s="1063"/>
      <c r="G38" s="1168"/>
      <c r="H38" s="1064">
        <f t="shared" si="1"/>
        <v>0</v>
      </c>
      <c r="I38" s="1072"/>
      <c r="K38" s="1181"/>
    </row>
    <row r="39" spans="2:11" s="1077" customFormat="1" ht="18">
      <c r="B39" s="1074"/>
      <c r="C39" s="1523" t="s">
        <v>609</v>
      </c>
      <c r="D39" s="1524"/>
      <c r="E39" s="1075">
        <f>E16+E17+E18+E26+E31</f>
        <v>625947.67</v>
      </c>
      <c r="F39" s="1075">
        <f>F16+F17+F18+F26+F31</f>
        <v>375000</v>
      </c>
      <c r="G39" s="1075">
        <f>G16+G17+G18+G26+G31</f>
        <v>0</v>
      </c>
      <c r="H39" s="1075">
        <f>H16+H17+H18+H26+H31</f>
        <v>1000947.67</v>
      </c>
      <c r="I39" s="1076"/>
      <c r="K39" s="1181"/>
    </row>
    <row r="40" spans="2:11" s="1041" customFormat="1" ht="15.75">
      <c r="B40" s="1038"/>
      <c r="C40" s="980"/>
      <c r="D40" s="1047"/>
      <c r="E40" s="1029"/>
      <c r="F40" s="1029"/>
      <c r="G40" s="1029"/>
      <c r="H40" s="1078"/>
      <c r="I40" s="1040"/>
      <c r="K40" s="1182"/>
    </row>
    <row r="41" spans="2:11" s="1073" customFormat="1" ht="18">
      <c r="B41" s="1071"/>
      <c r="C41" s="1054" t="s">
        <v>212</v>
      </c>
      <c r="D41" s="1055" t="s">
        <v>610</v>
      </c>
      <c r="E41" s="1056">
        <f>SUM(E42:E44)</f>
        <v>0</v>
      </c>
      <c r="F41" s="1056">
        <f>SUM(F42:F44)</f>
        <v>0</v>
      </c>
      <c r="G41" s="1056">
        <f>SUM(G42:G44)</f>
        <v>0</v>
      </c>
      <c r="H41" s="1056">
        <f>SUM(H42:H44)</f>
        <v>0</v>
      </c>
      <c r="I41" s="1072"/>
      <c r="K41" s="1181"/>
    </row>
    <row r="42" spans="2:12" s="1066" customFormat="1" ht="18" hidden="1">
      <c r="B42" s="1046"/>
      <c r="C42" s="1060" t="s">
        <v>49</v>
      </c>
      <c r="D42" s="1079" t="s">
        <v>835</v>
      </c>
      <c r="E42" s="1063"/>
      <c r="F42" s="1080">
        <f>'FC-7_INF'!K31</f>
        <v>0</v>
      </c>
      <c r="G42" s="1169"/>
      <c r="H42" s="1064">
        <f>SUM(E42:G42)</f>
        <v>0</v>
      </c>
      <c r="I42" s="1065"/>
      <c r="K42" s="1181"/>
      <c r="L42" s="1081" t="s">
        <v>836</v>
      </c>
    </row>
    <row r="43" spans="2:12" s="1066" customFormat="1" ht="18" hidden="1">
      <c r="B43" s="1046"/>
      <c r="C43" s="1176"/>
      <c r="D43" s="1177"/>
      <c r="E43" s="1063"/>
      <c r="F43" s="1063"/>
      <c r="G43" s="1167"/>
      <c r="H43" s="1064">
        <f>SUM(E43:G43)</f>
        <v>0</v>
      </c>
      <c r="I43" s="1065"/>
      <c r="K43" s="1181"/>
      <c r="L43" s="1073"/>
    </row>
    <row r="44" spans="2:12" s="1066" customFormat="1" ht="18" hidden="1">
      <c r="B44" s="1046"/>
      <c r="C44" s="1178"/>
      <c r="D44" s="1177"/>
      <c r="E44" s="1063"/>
      <c r="F44" s="1063"/>
      <c r="G44" s="1168"/>
      <c r="H44" s="1064">
        <f>SUM(E44:G44)</f>
        <v>0</v>
      </c>
      <c r="I44" s="1065"/>
      <c r="K44" s="1181"/>
      <c r="L44" s="1073"/>
    </row>
    <row r="45" spans="2:11" s="1073" customFormat="1" ht="18">
      <c r="B45" s="1071"/>
      <c r="C45" s="1054" t="s">
        <v>214</v>
      </c>
      <c r="D45" s="1055" t="s">
        <v>611</v>
      </c>
      <c r="E45" s="1056">
        <f>SUM(E46:E49)</f>
        <v>0</v>
      </c>
      <c r="F45" s="1056">
        <f>SUM(F46:F49)</f>
        <v>243002.88</v>
      </c>
      <c r="G45" s="1056">
        <f>SUM(G46:G49)</f>
        <v>0</v>
      </c>
      <c r="H45" s="1056">
        <f>SUM(H46:H49)</f>
        <v>243002.88</v>
      </c>
      <c r="I45" s="1072"/>
      <c r="K45" s="1181"/>
    </row>
    <row r="46" spans="2:11" s="1085" customFormat="1" ht="18" hidden="1">
      <c r="B46" s="1082"/>
      <c r="C46" s="1060" t="s">
        <v>53</v>
      </c>
      <c r="D46" s="1079" t="s">
        <v>901</v>
      </c>
      <c r="E46" s="1083"/>
      <c r="F46" s="1080">
        <f>'FC-9_TRANS_SUBV'!I31</f>
        <v>243002.88</v>
      </c>
      <c r="G46" s="948"/>
      <c r="H46" s="1064">
        <f>F46+E46</f>
        <v>243002.88</v>
      </c>
      <c r="I46" s="1084"/>
      <c r="K46" s="1181"/>
    </row>
    <row r="47" spans="2:11" s="1073" customFormat="1" ht="18" hidden="1">
      <c r="B47" s="1071"/>
      <c r="C47" s="1060" t="s">
        <v>980</v>
      </c>
      <c r="D47" s="1079" t="s">
        <v>981</v>
      </c>
      <c r="E47" s="1083"/>
      <c r="F47" s="1080">
        <f>'FC-4_1_MOV_FP'!F38</f>
        <v>0</v>
      </c>
      <c r="G47" s="948"/>
      <c r="H47" s="1064">
        <f>F47+E47</f>
        <v>0</v>
      </c>
      <c r="I47" s="1072"/>
      <c r="K47" s="1181"/>
    </row>
    <row r="48" spans="2:12" s="1073" customFormat="1" ht="18" hidden="1">
      <c r="B48" s="1071"/>
      <c r="C48" s="1176"/>
      <c r="D48" s="1185"/>
      <c r="E48" s="1063"/>
      <c r="F48" s="1063"/>
      <c r="G48" s="1167"/>
      <c r="H48" s="1064">
        <f>SUM(E48:G48)</f>
        <v>0</v>
      </c>
      <c r="I48" s="1072"/>
      <c r="K48" s="1181"/>
      <c r="L48" s="1067"/>
    </row>
    <row r="49" spans="2:12" s="1073" customFormat="1" ht="18">
      <c r="B49" s="1071"/>
      <c r="C49" s="1178"/>
      <c r="D49" s="1187"/>
      <c r="E49" s="1063"/>
      <c r="F49" s="1063"/>
      <c r="G49" s="1168"/>
      <c r="H49" s="1064">
        <f>SUM(E49:G49)</f>
        <v>0</v>
      </c>
      <c r="I49" s="1072"/>
      <c r="K49" s="1181"/>
      <c r="L49" s="1067"/>
    </row>
    <row r="50" spans="2:11" s="1088" customFormat="1" ht="18">
      <c r="B50" s="1086"/>
      <c r="C50" s="1515" t="s">
        <v>612</v>
      </c>
      <c r="D50" s="1516"/>
      <c r="E50" s="1049">
        <f>E41+E45</f>
        <v>0</v>
      </c>
      <c r="F50" s="1049">
        <f>F41+F45</f>
        <v>243002.88</v>
      </c>
      <c r="G50" s="1049">
        <f>G41+G45</f>
        <v>0</v>
      </c>
      <c r="H50" s="1049">
        <f>H41+H45</f>
        <v>243002.88</v>
      </c>
      <c r="I50" s="1087"/>
      <c r="K50" s="1181"/>
    </row>
    <row r="51" spans="2:11" s="1041" customFormat="1" ht="15.75">
      <c r="B51" s="1038"/>
      <c r="C51" s="980"/>
      <c r="D51" s="1047"/>
      <c r="E51" s="1029"/>
      <c r="F51" s="1029"/>
      <c r="G51" s="1029"/>
      <c r="H51" s="1078"/>
      <c r="I51" s="1040"/>
      <c r="K51" s="1182"/>
    </row>
    <row r="52" spans="2:11" s="1073" customFormat="1" ht="18">
      <c r="B52" s="1071"/>
      <c r="C52" s="1089" t="s">
        <v>265</v>
      </c>
      <c r="D52" s="686" t="s">
        <v>613</v>
      </c>
      <c r="E52" s="1090">
        <f>SUM(E53:E58)</f>
        <v>0</v>
      </c>
      <c r="F52" s="1090">
        <f>SUM(F53:F58)</f>
        <v>0</v>
      </c>
      <c r="G52" s="1090">
        <f>SUM(G53:G58)</f>
        <v>0</v>
      </c>
      <c r="H52" s="1090">
        <f>SUM(H53:H58)</f>
        <v>0</v>
      </c>
      <c r="I52" s="1072"/>
      <c r="K52" s="1181"/>
    </row>
    <row r="53" spans="2:13" s="1066" customFormat="1" ht="18" hidden="1">
      <c r="B53" s="1046"/>
      <c r="C53" s="1060" t="s">
        <v>51</v>
      </c>
      <c r="D53" s="1079" t="s">
        <v>837</v>
      </c>
      <c r="E53" s="1091"/>
      <c r="F53" s="1080">
        <f>-'FC-8_INV_FINANCIERAS'!H25</f>
        <v>0</v>
      </c>
      <c r="G53" s="948"/>
      <c r="H53" s="1064">
        <f>SUM(E53:G53)</f>
        <v>0</v>
      </c>
      <c r="I53" s="1065"/>
      <c r="K53" s="1181"/>
      <c r="L53" s="1081" t="s">
        <v>836</v>
      </c>
      <c r="M53" s="1085"/>
    </row>
    <row r="54" spans="2:12" s="1085" customFormat="1" ht="18" hidden="1">
      <c r="B54" s="1082"/>
      <c r="C54" s="1060" t="s">
        <v>51</v>
      </c>
      <c r="D54" s="1079" t="s">
        <v>838</v>
      </c>
      <c r="E54" s="1083"/>
      <c r="F54" s="1080">
        <f>-'FC-8_INV_FINANCIERAS'!H34</f>
        <v>0</v>
      </c>
      <c r="G54" s="1170"/>
      <c r="H54" s="1064">
        <f aca="true" t="shared" si="2" ref="H54:H65">SUM(E54:G54)</f>
        <v>0</v>
      </c>
      <c r="I54" s="1084"/>
      <c r="K54" s="1181"/>
      <c r="L54" s="1081" t="s">
        <v>836</v>
      </c>
    </row>
    <row r="55" spans="2:12" s="1085" customFormat="1" ht="18" hidden="1">
      <c r="B55" s="1082"/>
      <c r="C55" s="1060" t="s">
        <v>51</v>
      </c>
      <c r="D55" s="1079" t="s">
        <v>839</v>
      </c>
      <c r="E55" s="1083"/>
      <c r="F55" s="1080">
        <f>-'FC-8_INV_FINANCIERAS'!H49</f>
        <v>0</v>
      </c>
      <c r="G55" s="949"/>
      <c r="H55" s="1064">
        <f t="shared" si="2"/>
        <v>0</v>
      </c>
      <c r="I55" s="1084"/>
      <c r="K55" s="1181"/>
      <c r="L55" s="1081" t="s">
        <v>836</v>
      </c>
    </row>
    <row r="56" spans="2:12" s="1085" customFormat="1" ht="18" hidden="1">
      <c r="B56" s="1082"/>
      <c r="C56" s="1060" t="s">
        <v>51</v>
      </c>
      <c r="D56" s="1079" t="s">
        <v>840</v>
      </c>
      <c r="E56" s="1083"/>
      <c r="F56" s="1080">
        <f>-'FC-8_INV_FINANCIERAS'!H58</f>
        <v>0</v>
      </c>
      <c r="G56" s="949"/>
      <c r="H56" s="1064">
        <f t="shared" si="2"/>
        <v>0</v>
      </c>
      <c r="I56" s="1084"/>
      <c r="K56" s="1181"/>
      <c r="L56" s="1081" t="s">
        <v>836</v>
      </c>
    </row>
    <row r="57" spans="2:12" s="1085" customFormat="1" ht="18" hidden="1">
      <c r="B57" s="1082"/>
      <c r="C57" s="1176"/>
      <c r="D57" s="1185"/>
      <c r="E57" s="1063"/>
      <c r="F57" s="1063"/>
      <c r="G57" s="1167"/>
      <c r="H57" s="1064">
        <f t="shared" si="2"/>
        <v>0</v>
      </c>
      <c r="I57" s="1084"/>
      <c r="K57" s="1181"/>
      <c r="L57" s="1093"/>
    </row>
    <row r="58" spans="2:12" s="1085" customFormat="1" ht="18" hidden="1">
      <c r="B58" s="1082"/>
      <c r="C58" s="1178"/>
      <c r="D58" s="1187"/>
      <c r="E58" s="1063"/>
      <c r="F58" s="1063"/>
      <c r="G58" s="1168"/>
      <c r="H58" s="1064">
        <f>SUM(E58:G58)</f>
        <v>0</v>
      </c>
      <c r="I58" s="1084"/>
      <c r="K58" s="1181"/>
      <c r="L58" s="1093"/>
    </row>
    <row r="59" spans="2:11" s="1073" customFormat="1" ht="18">
      <c r="B59" s="1071"/>
      <c r="C59" s="1094" t="s">
        <v>267</v>
      </c>
      <c r="D59" s="1095" t="s">
        <v>614</v>
      </c>
      <c r="E59" s="1096">
        <f>SUM(E60:E67)</f>
        <v>0</v>
      </c>
      <c r="F59" s="1096">
        <f>SUM(F60:F67)</f>
        <v>0</v>
      </c>
      <c r="G59" s="1096">
        <f>SUM(G60:G67)</f>
        <v>0</v>
      </c>
      <c r="H59" s="1096">
        <f>SUM(H60:H67)</f>
        <v>0</v>
      </c>
      <c r="I59" s="1072"/>
      <c r="K59" s="1181"/>
    </row>
    <row r="60" spans="2:11" s="1085" customFormat="1" ht="18" hidden="1">
      <c r="B60" s="1082"/>
      <c r="C60" s="1060" t="s">
        <v>55</v>
      </c>
      <c r="D60" s="1079" t="s">
        <v>902</v>
      </c>
      <c r="E60" s="1083"/>
      <c r="F60" s="1080">
        <f>'FC-10_DEUDAS'!M43</f>
        <v>0</v>
      </c>
      <c r="G60" s="1171"/>
      <c r="H60" s="1064">
        <f t="shared" si="2"/>
        <v>0</v>
      </c>
      <c r="I60" s="1084"/>
      <c r="K60" s="1181"/>
    </row>
    <row r="61" spans="2:12" s="1085" customFormat="1" ht="18" hidden="1">
      <c r="B61" s="1082"/>
      <c r="C61" s="1060"/>
      <c r="D61" s="1079" t="s">
        <v>908</v>
      </c>
      <c r="E61" s="1083"/>
      <c r="F61" s="1098"/>
      <c r="G61" s="1171"/>
      <c r="H61" s="1064">
        <f t="shared" si="2"/>
        <v>0</v>
      </c>
      <c r="I61" s="1084"/>
      <c r="K61" s="1181"/>
      <c r="L61" s="1067" t="s">
        <v>952</v>
      </c>
    </row>
    <row r="62" spans="2:12" s="1085" customFormat="1" ht="18" hidden="1">
      <c r="B62" s="1082"/>
      <c r="C62" s="1060"/>
      <c r="D62" s="1079" t="s">
        <v>841</v>
      </c>
      <c r="E62" s="1083"/>
      <c r="F62" s="1099"/>
      <c r="G62" s="949"/>
      <c r="H62" s="1064">
        <f t="shared" si="2"/>
        <v>0</v>
      </c>
      <c r="I62" s="1084"/>
      <c r="K62" s="1181"/>
      <c r="L62" s="1067" t="s">
        <v>952</v>
      </c>
    </row>
    <row r="63" spans="2:11" s="1085" customFormat="1" ht="18" hidden="1">
      <c r="B63" s="1082"/>
      <c r="C63" s="1060" t="s">
        <v>55</v>
      </c>
      <c r="D63" s="1079" t="s">
        <v>842</v>
      </c>
      <c r="E63" s="1083"/>
      <c r="F63" s="1080">
        <f>'FC-10_DEUDAS'!M75</f>
        <v>0</v>
      </c>
      <c r="G63" s="1171"/>
      <c r="H63" s="1064">
        <f t="shared" si="2"/>
        <v>0</v>
      </c>
      <c r="I63" s="1084"/>
      <c r="K63" s="1181"/>
    </row>
    <row r="64" spans="2:11" s="1085" customFormat="1" ht="18" hidden="1">
      <c r="B64" s="1082"/>
      <c r="C64" s="1060" t="s">
        <v>55</v>
      </c>
      <c r="D64" s="1079" t="s">
        <v>843</v>
      </c>
      <c r="E64" s="1083"/>
      <c r="F64" s="1080">
        <f>'FC-10_DEUDAS'!M107</f>
        <v>0</v>
      </c>
      <c r="G64" s="949"/>
      <c r="H64" s="1064">
        <f t="shared" si="2"/>
        <v>0</v>
      </c>
      <c r="I64" s="1084"/>
      <c r="K64" s="1181"/>
    </row>
    <row r="65" spans="2:12" s="1085" customFormat="1" ht="18" hidden="1">
      <c r="B65" s="1082"/>
      <c r="C65" s="1060"/>
      <c r="D65" s="1079" t="s">
        <v>844</v>
      </c>
      <c r="E65" s="1083"/>
      <c r="F65" s="1099"/>
      <c r="G65" s="949"/>
      <c r="H65" s="1064">
        <f t="shared" si="2"/>
        <v>0</v>
      </c>
      <c r="I65" s="1084"/>
      <c r="K65" s="1181"/>
      <c r="L65" s="1067" t="s">
        <v>952</v>
      </c>
    </row>
    <row r="66" spans="2:12" s="1085" customFormat="1" ht="18" hidden="1">
      <c r="B66" s="1082"/>
      <c r="C66" s="1176"/>
      <c r="D66" s="1185"/>
      <c r="E66" s="1063"/>
      <c r="F66" s="1063"/>
      <c r="G66" s="1167"/>
      <c r="H66" s="1064">
        <f>SUM(E66:G66)</f>
        <v>0</v>
      </c>
      <c r="I66" s="1084"/>
      <c r="K66" s="1181"/>
      <c r="L66" s="1067"/>
    </row>
    <row r="67" spans="2:12" s="1085" customFormat="1" ht="18">
      <c r="B67" s="1082"/>
      <c r="C67" s="1178"/>
      <c r="D67" s="1187"/>
      <c r="E67" s="1063"/>
      <c r="F67" s="1063"/>
      <c r="G67" s="1168"/>
      <c r="H67" s="1064">
        <f>SUM(E67:G67)</f>
        <v>0</v>
      </c>
      <c r="I67" s="1084"/>
      <c r="K67" s="1181"/>
      <c r="L67" s="1067"/>
    </row>
    <row r="68" spans="2:11" s="1100" customFormat="1" ht="18">
      <c r="B68" s="1042"/>
      <c r="C68" s="1515" t="s">
        <v>615</v>
      </c>
      <c r="D68" s="1516"/>
      <c r="E68" s="1049">
        <f>E52+E59</f>
        <v>0</v>
      </c>
      <c r="F68" s="1049">
        <f>F52+F59</f>
        <v>0</v>
      </c>
      <c r="G68" s="1049">
        <f>G52+G59</f>
        <v>0</v>
      </c>
      <c r="H68" s="1049">
        <f>H52+H59</f>
        <v>0</v>
      </c>
      <c r="I68" s="1044"/>
      <c r="K68" s="1181"/>
    </row>
    <row r="69" spans="2:11" s="1041" customFormat="1" ht="15">
      <c r="B69" s="1038"/>
      <c r="C69" s="1047"/>
      <c r="D69" s="1028"/>
      <c r="E69" s="1029"/>
      <c r="F69" s="1029"/>
      <c r="G69" s="1029"/>
      <c r="H69" s="1101"/>
      <c r="I69" s="1040"/>
      <c r="K69" s="1182"/>
    </row>
    <row r="70" spans="2:11" s="1105" customFormat="1" ht="21" thickBot="1">
      <c r="B70" s="1102"/>
      <c r="C70" s="1517" t="s">
        <v>845</v>
      </c>
      <c r="D70" s="1518"/>
      <c r="E70" s="1103">
        <f>E68+E50+E39</f>
        <v>625947.67</v>
      </c>
      <c r="F70" s="1103">
        <f>F68+F50+F39</f>
        <v>618002.88</v>
      </c>
      <c r="G70" s="1103">
        <f>G68+G50+G39</f>
        <v>0</v>
      </c>
      <c r="H70" s="1103">
        <f>H68+H50+H39</f>
        <v>1243950.55</v>
      </c>
      <c r="I70" s="1104"/>
      <c r="K70" s="1181"/>
    </row>
    <row r="71" spans="2:11" s="1041" customFormat="1" ht="15.75">
      <c r="B71" s="1038"/>
      <c r="C71" s="980"/>
      <c r="D71" s="1047"/>
      <c r="E71" s="1029"/>
      <c r="F71" s="1029"/>
      <c r="G71" s="1029"/>
      <c r="H71" s="1078"/>
      <c r="I71" s="1040"/>
      <c r="K71" s="1182"/>
    </row>
    <row r="72" spans="2:11" s="1041" customFormat="1" ht="18">
      <c r="B72" s="1038"/>
      <c r="C72" s="1519" t="s">
        <v>617</v>
      </c>
      <c r="D72" s="1520"/>
      <c r="E72" s="1106">
        <f>SUM(E73:E81)</f>
        <v>325869.4</v>
      </c>
      <c r="F72" s="1106">
        <f>SUM(F73:F81)</f>
        <v>0</v>
      </c>
      <c r="G72" s="1106">
        <f>SUM(G73:G81)</f>
        <v>0</v>
      </c>
      <c r="H72" s="1106">
        <f>SUM(H73:H81)</f>
        <v>325869.4</v>
      </c>
      <c r="I72" s="1040"/>
      <c r="K72" s="1181"/>
    </row>
    <row r="73" spans="2:12" s="1073" customFormat="1" ht="18" hidden="1">
      <c r="B73" s="1071"/>
      <c r="C73" s="1060" t="s">
        <v>40</v>
      </c>
      <c r="D73" s="1061" t="s">
        <v>846</v>
      </c>
      <c r="E73" s="1062">
        <f>IF('FC-3_CPyG'!G20&gt;0,'FC-3_CPyG'!G20,0)</f>
        <v>0</v>
      </c>
      <c r="F73" s="1063"/>
      <c r="G73" s="1063"/>
      <c r="H73" s="1064">
        <f aca="true" t="shared" si="3" ref="H73:H81">F73+E73</f>
        <v>0</v>
      </c>
      <c r="I73" s="1072"/>
      <c r="K73" s="1181"/>
      <c r="L73" s="1067" t="s">
        <v>847</v>
      </c>
    </row>
    <row r="74" spans="2:12" s="1073" customFormat="1" ht="18" hidden="1">
      <c r="B74" s="1071"/>
      <c r="C74" s="1060" t="s">
        <v>40</v>
      </c>
      <c r="D74" s="1061" t="s">
        <v>848</v>
      </c>
      <c r="E74" s="1062">
        <f>'FC-3_CPyG'!G21</f>
        <v>0</v>
      </c>
      <c r="F74" s="1063"/>
      <c r="G74" s="1063"/>
      <c r="H74" s="1064">
        <f t="shared" si="3"/>
        <v>0</v>
      </c>
      <c r="I74" s="1072"/>
      <c r="K74" s="1181"/>
      <c r="L74" s="1067" t="s">
        <v>849</v>
      </c>
    </row>
    <row r="75" spans="2:11" s="1073" customFormat="1" ht="18" hidden="1">
      <c r="B75" s="1071"/>
      <c r="C75" s="1060" t="s">
        <v>40</v>
      </c>
      <c r="D75" s="1061" t="s">
        <v>850</v>
      </c>
      <c r="E75" s="1062">
        <f>'FC-3_CPyG'!G41</f>
        <v>325869.4</v>
      </c>
      <c r="F75" s="1063"/>
      <c r="G75" s="1063"/>
      <c r="H75" s="1064">
        <f t="shared" si="3"/>
        <v>325869.4</v>
      </c>
      <c r="I75" s="1072"/>
      <c r="K75" s="1181"/>
    </row>
    <row r="76" spans="2:11" s="1073" customFormat="1" ht="18" hidden="1">
      <c r="B76" s="1071"/>
      <c r="C76" s="1060" t="s">
        <v>40</v>
      </c>
      <c r="D76" s="1061" t="s">
        <v>851</v>
      </c>
      <c r="E76" s="1062">
        <f>'FC-3_CPyG'!G42</f>
        <v>0</v>
      </c>
      <c r="F76" s="1063"/>
      <c r="G76" s="1063"/>
      <c r="H76" s="1064">
        <f t="shared" si="3"/>
        <v>0</v>
      </c>
      <c r="I76" s="1072"/>
      <c r="K76" s="1181"/>
    </row>
    <row r="77" spans="2:11" s="1073" customFormat="1" ht="18" hidden="1">
      <c r="B77" s="1071"/>
      <c r="C77" s="1060" t="s">
        <v>40</v>
      </c>
      <c r="D77" s="1061" t="s">
        <v>852</v>
      </c>
      <c r="E77" s="1062">
        <f>IF('FC-3_CPyG'!G45&gt;0,'FC-3_CPyG'!G45,0)</f>
        <v>0</v>
      </c>
      <c r="F77" s="1063"/>
      <c r="G77" s="1063"/>
      <c r="H77" s="1064">
        <f t="shared" si="3"/>
        <v>0</v>
      </c>
      <c r="I77" s="1072"/>
      <c r="K77" s="1181"/>
    </row>
    <row r="78" spans="2:11" s="1073" customFormat="1" ht="18" hidden="1">
      <c r="B78" s="1071"/>
      <c r="C78" s="1060" t="s">
        <v>40</v>
      </c>
      <c r="D78" s="1061" t="s">
        <v>853</v>
      </c>
      <c r="E78" s="1062">
        <f>IF('FC-3_CPyG'!G46&gt;0,'FC-3_CPyG'!G46,0)</f>
        <v>0</v>
      </c>
      <c r="F78" s="1063"/>
      <c r="G78" s="1063"/>
      <c r="H78" s="1064">
        <f t="shared" si="3"/>
        <v>0</v>
      </c>
      <c r="I78" s="1072"/>
      <c r="K78" s="1181"/>
    </row>
    <row r="79" spans="2:11" s="1073" customFormat="1" ht="18" hidden="1">
      <c r="B79" s="1071"/>
      <c r="C79" s="1060" t="s">
        <v>46</v>
      </c>
      <c r="D79" s="1061" t="s">
        <v>1018</v>
      </c>
      <c r="E79" s="1062">
        <f>'FC-3_1_INF_ADIC_CPyG'!G52</f>
        <v>0</v>
      </c>
      <c r="F79" s="1063"/>
      <c r="G79" s="1063"/>
      <c r="H79" s="1064">
        <f t="shared" si="3"/>
        <v>0</v>
      </c>
      <c r="I79" s="1072"/>
      <c r="K79" s="1181"/>
    </row>
    <row r="80" spans="2:11" s="1073" customFormat="1" ht="18" hidden="1">
      <c r="B80" s="1071"/>
      <c r="C80" s="1060" t="s">
        <v>40</v>
      </c>
      <c r="D80" s="1061" t="s">
        <v>854</v>
      </c>
      <c r="E80" s="1062">
        <f>'FC-3_CPyG'!G58</f>
        <v>0</v>
      </c>
      <c r="F80" s="1063"/>
      <c r="G80" s="1063"/>
      <c r="H80" s="1064">
        <f t="shared" si="3"/>
        <v>0</v>
      </c>
      <c r="I80" s="1072"/>
      <c r="K80" s="1181"/>
    </row>
    <row r="81" spans="2:11" s="1073" customFormat="1" ht="18" hidden="1">
      <c r="B81" s="1071"/>
      <c r="C81" s="1060" t="s">
        <v>40</v>
      </c>
      <c r="D81" s="1061" t="s">
        <v>855</v>
      </c>
      <c r="E81" s="1062">
        <f>'FC-3_CPyG'!G63</f>
        <v>0</v>
      </c>
      <c r="F81" s="1063"/>
      <c r="G81" s="1063"/>
      <c r="H81" s="1064">
        <f t="shared" si="3"/>
        <v>0</v>
      </c>
      <c r="I81" s="1072"/>
      <c r="K81" s="1181"/>
    </row>
    <row r="82" spans="2:11" s="1073" customFormat="1" ht="15.75">
      <c r="B82" s="1071"/>
      <c r="C82" s="1107"/>
      <c r="D82" s="1107"/>
      <c r="E82" s="1107"/>
      <c r="F82" s="1107"/>
      <c r="G82" s="1107"/>
      <c r="H82" s="1107"/>
      <c r="I82" s="1072"/>
      <c r="K82" s="1183"/>
    </row>
    <row r="83" spans="2:11" s="1112" customFormat="1" ht="18.75" thickBot="1">
      <c r="B83" s="1108"/>
      <c r="C83" s="1513" t="s">
        <v>856</v>
      </c>
      <c r="D83" s="1514"/>
      <c r="E83" s="1109">
        <f>E70+E72</f>
        <v>951817.0700000001</v>
      </c>
      <c r="F83" s="1109">
        <f>F70+F72</f>
        <v>618002.88</v>
      </c>
      <c r="G83" s="1109">
        <f>G70+G72</f>
        <v>0</v>
      </c>
      <c r="H83" s="1109">
        <f>H70+H72</f>
        <v>1569819.9500000002</v>
      </c>
      <c r="I83" s="1110"/>
      <c r="J83" s="1111"/>
      <c r="K83" s="1181"/>
    </row>
    <row r="84" spans="2:11" s="1041" customFormat="1" ht="18">
      <c r="B84" s="1038"/>
      <c r="C84" s="1113"/>
      <c r="D84" s="1113"/>
      <c r="E84" s="1114"/>
      <c r="F84" s="1114"/>
      <c r="G84" s="1114"/>
      <c r="H84" s="1115"/>
      <c r="I84" s="1040"/>
      <c r="K84" s="1182"/>
    </row>
    <row r="85" spans="2:11" s="1041" customFormat="1" ht="18">
      <c r="B85" s="1038"/>
      <c r="C85" s="1113"/>
      <c r="D85" s="1113"/>
      <c r="E85" s="1114"/>
      <c r="F85" s="1114"/>
      <c r="G85" s="1114"/>
      <c r="H85" s="1115"/>
      <c r="I85" s="1040"/>
      <c r="K85" s="1182"/>
    </row>
    <row r="86" spans="2:11" s="1051" customFormat="1" ht="23.25">
      <c r="B86" s="1048"/>
      <c r="C86" s="1521" t="s">
        <v>619</v>
      </c>
      <c r="D86" s="1522"/>
      <c r="E86" s="1116"/>
      <c r="F86" s="1116"/>
      <c r="G86" s="1116"/>
      <c r="H86" s="1117" t="s">
        <v>470</v>
      </c>
      <c r="I86" s="1050"/>
      <c r="K86" s="1181"/>
    </row>
    <row r="87" spans="2:11" ht="18">
      <c r="B87" s="1046"/>
      <c r="C87" s="1052"/>
      <c r="D87" s="1047"/>
      <c r="E87" s="1029"/>
      <c r="F87" s="1029"/>
      <c r="G87" s="1029"/>
      <c r="H87" s="636"/>
      <c r="I87" s="1036"/>
      <c r="K87" s="1184"/>
    </row>
    <row r="88" spans="2:11" s="1059" customFormat="1" ht="18">
      <c r="B88" s="1053"/>
      <c r="C88" s="1054" t="s">
        <v>182</v>
      </c>
      <c r="D88" s="1055" t="s">
        <v>620</v>
      </c>
      <c r="E88" s="1056">
        <f>SUM(E89:E92)</f>
        <v>590295.87</v>
      </c>
      <c r="F88" s="1056">
        <f>SUM(F89:F92)</f>
        <v>0</v>
      </c>
      <c r="G88" s="1056">
        <f>SUM(G89:G92)</f>
        <v>0</v>
      </c>
      <c r="H88" s="1056">
        <f>SUM(H89:H92)</f>
        <v>590295.87</v>
      </c>
      <c r="I88" s="1058"/>
      <c r="K88" s="1181"/>
    </row>
    <row r="89" spans="2:11" s="1041" customFormat="1" ht="18" hidden="1">
      <c r="B89" s="1038"/>
      <c r="C89" s="1060" t="s">
        <v>40</v>
      </c>
      <c r="D89" s="1061" t="s">
        <v>857</v>
      </c>
      <c r="E89" s="1062">
        <f>-'FC-3_CPyG'!G30</f>
        <v>590295.87</v>
      </c>
      <c r="F89" s="1063"/>
      <c r="G89" s="1063"/>
      <c r="H89" s="1064">
        <f>F89+E89</f>
        <v>590295.87</v>
      </c>
      <c r="I89" s="1040"/>
      <c r="K89" s="1181"/>
    </row>
    <row r="90" spans="2:11" s="1041" customFormat="1" ht="18" hidden="1">
      <c r="B90" s="1038"/>
      <c r="C90" s="1060" t="s">
        <v>40</v>
      </c>
      <c r="D90" s="1061" t="s">
        <v>858</v>
      </c>
      <c r="E90" s="1062">
        <f>-'FC-3_CPyG'!G33</f>
        <v>0</v>
      </c>
      <c r="F90" s="1063"/>
      <c r="G90" s="1063"/>
      <c r="H90" s="1064">
        <f>F90+E90</f>
        <v>0</v>
      </c>
      <c r="I90" s="1040"/>
      <c r="K90" s="1181"/>
    </row>
    <row r="91" spans="2:11" s="1041" customFormat="1" ht="18" hidden="1">
      <c r="B91" s="1038"/>
      <c r="C91" s="1176"/>
      <c r="D91" s="1185"/>
      <c r="E91" s="1063"/>
      <c r="F91" s="1063"/>
      <c r="G91" s="1167"/>
      <c r="H91" s="1064">
        <f>SUM(E91:G91)</f>
        <v>0</v>
      </c>
      <c r="I91" s="1040"/>
      <c r="K91" s="1181"/>
    </row>
    <row r="92" spans="2:11" s="1041" customFormat="1" ht="18" hidden="1">
      <c r="B92" s="1038"/>
      <c r="C92" s="1178"/>
      <c r="D92" s="1186"/>
      <c r="E92" s="1063"/>
      <c r="F92" s="1063"/>
      <c r="G92" s="1168"/>
      <c r="H92" s="1064">
        <f>SUM(E92:G92)</f>
        <v>0</v>
      </c>
      <c r="I92" s="1040"/>
      <c r="K92" s="1181"/>
    </row>
    <row r="93" spans="2:11" s="1059" customFormat="1" ht="18">
      <c r="B93" s="1053"/>
      <c r="C93" s="1118" t="s">
        <v>192</v>
      </c>
      <c r="D93" s="1119" t="s">
        <v>621</v>
      </c>
      <c r="E93" s="1120">
        <f>SUM(E94:E105)</f>
        <v>386842.22</v>
      </c>
      <c r="F93" s="1120">
        <f>SUM(F94:F105)</f>
        <v>0</v>
      </c>
      <c r="G93" s="1120">
        <f>SUM(G94:G105)</f>
        <v>0</v>
      </c>
      <c r="H93" s="1120">
        <f>SUM(H94:H105)</f>
        <v>386842.22</v>
      </c>
      <c r="I93" s="1058"/>
      <c r="K93" s="1181"/>
    </row>
    <row r="94" spans="2:12" s="1041" customFormat="1" ht="18" hidden="1">
      <c r="B94" s="1038"/>
      <c r="C94" s="1060" t="s">
        <v>859</v>
      </c>
      <c r="D94" s="1061" t="s">
        <v>860</v>
      </c>
      <c r="E94" s="1062">
        <f>-'FC-3_CPyG'!G22</f>
        <v>0</v>
      </c>
      <c r="F94" s="1063"/>
      <c r="G94" s="1063"/>
      <c r="H94" s="1064">
        <f>SUM(E94:G94)</f>
        <v>0</v>
      </c>
      <c r="I94" s="1040"/>
      <c r="K94" s="1181"/>
      <c r="L94" s="1067" t="s">
        <v>954</v>
      </c>
    </row>
    <row r="95" spans="2:11" s="1041" customFormat="1" ht="18" hidden="1">
      <c r="B95" s="1038"/>
      <c r="C95" s="1060" t="s">
        <v>40</v>
      </c>
      <c r="D95" s="1061" t="s">
        <v>861</v>
      </c>
      <c r="E95" s="1062">
        <f>-'FC-3_CPyG'!G26</f>
        <v>0</v>
      </c>
      <c r="F95" s="1063"/>
      <c r="G95" s="1063"/>
      <c r="H95" s="1064">
        <f aca="true" t="shared" si="4" ref="H95:H110">SUM(E95:G95)</f>
        <v>0</v>
      </c>
      <c r="I95" s="1040"/>
      <c r="K95" s="1181"/>
    </row>
    <row r="96" spans="2:11" s="1041" customFormat="1" ht="18" hidden="1">
      <c r="B96" s="1038"/>
      <c r="C96" s="1060" t="s">
        <v>40</v>
      </c>
      <c r="D96" s="1061" t="s">
        <v>862</v>
      </c>
      <c r="E96" s="1062">
        <f>-'FC-3_CPyG'!G35</f>
        <v>385942.22</v>
      </c>
      <c r="F96" s="1063"/>
      <c r="G96" s="1063"/>
      <c r="H96" s="1064">
        <f t="shared" si="4"/>
        <v>385942.22</v>
      </c>
      <c r="I96" s="1040"/>
      <c r="K96" s="1181"/>
    </row>
    <row r="97" spans="2:11" s="1041" customFormat="1" ht="18" hidden="1">
      <c r="B97" s="1038"/>
      <c r="C97" s="1060" t="s">
        <v>40</v>
      </c>
      <c r="D97" s="1061" t="s">
        <v>863</v>
      </c>
      <c r="E97" s="1062">
        <f>-'FC-3_CPyG'!G36</f>
        <v>900</v>
      </c>
      <c r="F97" s="1063"/>
      <c r="G97" s="1063"/>
      <c r="H97" s="1064">
        <f t="shared" si="4"/>
        <v>900</v>
      </c>
      <c r="I97" s="1040"/>
      <c r="K97" s="1181"/>
    </row>
    <row r="98" spans="2:11" s="1041" customFormat="1" ht="18" hidden="1">
      <c r="B98" s="1038"/>
      <c r="C98" s="1060" t="s">
        <v>40</v>
      </c>
      <c r="D98" s="1061" t="s">
        <v>864</v>
      </c>
      <c r="E98" s="1062">
        <f>-'FC-3_CPyG'!G38</f>
        <v>0</v>
      </c>
      <c r="F98" s="1063"/>
      <c r="G98" s="1063"/>
      <c r="H98" s="1064">
        <f t="shared" si="4"/>
        <v>0</v>
      </c>
      <c r="I98" s="1040"/>
      <c r="K98" s="1181"/>
    </row>
    <row r="99" spans="2:12" s="1041" customFormat="1" ht="18" hidden="1">
      <c r="B99" s="1038"/>
      <c r="C99" s="1060" t="s">
        <v>40</v>
      </c>
      <c r="D99" s="1061" t="s">
        <v>865</v>
      </c>
      <c r="E99" s="1062">
        <f>-'FC-3_CPyG'!G39</f>
        <v>0</v>
      </c>
      <c r="F99" s="1063"/>
      <c r="G99" s="1063"/>
      <c r="H99" s="1064">
        <f t="shared" si="4"/>
        <v>0</v>
      </c>
      <c r="I99" s="1040"/>
      <c r="K99" s="1181"/>
      <c r="L99" s="1121"/>
    </row>
    <row r="100" spans="2:11" s="1041" customFormat="1" ht="18" hidden="1">
      <c r="B100" s="1038"/>
      <c r="C100" s="1060" t="s">
        <v>40</v>
      </c>
      <c r="D100" s="1061" t="s">
        <v>866</v>
      </c>
      <c r="E100" s="1062">
        <f>-'FC-3_CPyG'!G77</f>
        <v>0</v>
      </c>
      <c r="F100" s="1063"/>
      <c r="G100" s="1063"/>
      <c r="H100" s="1064">
        <f t="shared" si="4"/>
        <v>0</v>
      </c>
      <c r="I100" s="1040"/>
      <c r="K100" s="1181"/>
    </row>
    <row r="101" spans="2:11" s="1041" customFormat="1" ht="18" hidden="1">
      <c r="B101" s="1038"/>
      <c r="C101" s="1060" t="s">
        <v>46</v>
      </c>
      <c r="D101" s="1061" t="s">
        <v>1020</v>
      </c>
      <c r="E101" s="1062">
        <f>-'FC-3_1_INF_ADIC_CPyG'!G57</f>
        <v>0</v>
      </c>
      <c r="F101" s="1063"/>
      <c r="G101" s="1063"/>
      <c r="H101" s="1064">
        <f t="shared" si="4"/>
        <v>0</v>
      </c>
      <c r="I101" s="1040"/>
      <c r="K101" s="1181"/>
    </row>
    <row r="102" spans="2:11" s="1041" customFormat="1" ht="18" hidden="1">
      <c r="B102" s="1038"/>
      <c r="C102" s="1060" t="s">
        <v>46</v>
      </c>
      <c r="D102" s="1061" t="s">
        <v>867</v>
      </c>
      <c r="E102" s="1062">
        <f>-'FC-3_1_INF_ADIC_CPyG'!G87</f>
        <v>0</v>
      </c>
      <c r="F102" s="1063"/>
      <c r="G102" s="1063"/>
      <c r="H102" s="1064">
        <f t="shared" si="4"/>
        <v>0</v>
      </c>
      <c r="I102" s="1040"/>
      <c r="K102" s="1181"/>
    </row>
    <row r="103" spans="2:12" s="1127" customFormat="1" ht="18" hidden="1">
      <c r="B103" s="1122"/>
      <c r="C103" s="1123"/>
      <c r="D103" s="1124" t="s">
        <v>868</v>
      </c>
      <c r="E103" s="1125"/>
      <c r="F103" s="1170"/>
      <c r="G103" s="1170"/>
      <c r="H103" s="1064">
        <f t="shared" si="4"/>
        <v>0</v>
      </c>
      <c r="I103" s="1126"/>
      <c r="K103" s="1181"/>
      <c r="L103" s="1067" t="s">
        <v>952</v>
      </c>
    </row>
    <row r="104" spans="2:11" s="1041" customFormat="1" ht="18" hidden="1">
      <c r="B104" s="1038"/>
      <c r="C104" s="1176"/>
      <c r="D104" s="1185"/>
      <c r="E104" s="1063"/>
      <c r="F104" s="1063"/>
      <c r="G104" s="1167"/>
      <c r="H104" s="1064">
        <f t="shared" si="4"/>
        <v>0</v>
      </c>
      <c r="I104" s="1040"/>
      <c r="K104" s="1181"/>
    </row>
    <row r="105" spans="2:11" s="1041" customFormat="1" ht="18" hidden="1">
      <c r="B105" s="1038"/>
      <c r="C105" s="1178"/>
      <c r="D105" s="1186"/>
      <c r="E105" s="1063"/>
      <c r="F105" s="1063"/>
      <c r="G105" s="1168"/>
      <c r="H105" s="1064">
        <f t="shared" si="4"/>
        <v>0</v>
      </c>
      <c r="I105" s="1040"/>
      <c r="K105" s="1181"/>
    </row>
    <row r="106" spans="2:11" s="1059" customFormat="1" ht="18">
      <c r="B106" s="1053"/>
      <c r="C106" s="1118" t="s">
        <v>197</v>
      </c>
      <c r="D106" s="1119" t="s">
        <v>386</v>
      </c>
      <c r="E106" s="1120">
        <f>SUM(E107:E111)</f>
        <v>0</v>
      </c>
      <c r="F106" s="1120">
        <f>SUM(F107:F111)</f>
        <v>0</v>
      </c>
      <c r="G106" s="1120">
        <f>SUM(G107:G111)</f>
        <v>0</v>
      </c>
      <c r="H106" s="1120">
        <f>SUM(H107:H111)</f>
        <v>0</v>
      </c>
      <c r="I106" s="1058"/>
      <c r="K106" s="1181"/>
    </row>
    <row r="107" spans="2:11" s="1041" customFormat="1" ht="18" hidden="1">
      <c r="B107" s="1038"/>
      <c r="C107" s="1060" t="s">
        <v>40</v>
      </c>
      <c r="D107" s="1061" t="s">
        <v>869</v>
      </c>
      <c r="E107" s="1062">
        <f>-'FC-3_CPyG'!G60</f>
        <v>0</v>
      </c>
      <c r="F107" s="1063"/>
      <c r="G107" s="1063"/>
      <c r="H107" s="1064">
        <f>SUM(E107:G107)</f>
        <v>0</v>
      </c>
      <c r="I107" s="1040"/>
      <c r="K107" s="1181"/>
    </row>
    <row r="108" spans="2:11" s="1041" customFormat="1" ht="18" hidden="1">
      <c r="B108" s="1038"/>
      <c r="C108" s="1060" t="s">
        <v>40</v>
      </c>
      <c r="D108" s="1061" t="s">
        <v>870</v>
      </c>
      <c r="E108" s="1062">
        <f>-'FC-3_CPyG'!G61</f>
        <v>0</v>
      </c>
      <c r="F108" s="1063"/>
      <c r="G108" s="1063"/>
      <c r="H108" s="1064">
        <f t="shared" si="4"/>
        <v>0</v>
      </c>
      <c r="I108" s="1040"/>
      <c r="K108" s="1181"/>
    </row>
    <row r="109" spans="2:11" s="1041" customFormat="1" ht="18" hidden="1">
      <c r="B109" s="1038"/>
      <c r="C109" s="1060" t="s">
        <v>40</v>
      </c>
      <c r="D109" s="1061" t="s">
        <v>871</v>
      </c>
      <c r="E109" s="1062">
        <f>-'FC-3_CPyG'!G71</f>
        <v>0</v>
      </c>
      <c r="F109" s="1063"/>
      <c r="G109" s="1063"/>
      <c r="H109" s="1064">
        <f>SUM(E109:G109)</f>
        <v>0</v>
      </c>
      <c r="I109" s="1040"/>
      <c r="K109" s="1181"/>
    </row>
    <row r="110" spans="2:11" s="1041" customFormat="1" ht="18" hidden="1">
      <c r="B110" s="1038"/>
      <c r="C110" s="1176"/>
      <c r="D110" s="1185"/>
      <c r="E110" s="1063"/>
      <c r="F110" s="1063"/>
      <c r="G110" s="1167"/>
      <c r="H110" s="1064">
        <f t="shared" si="4"/>
        <v>0</v>
      </c>
      <c r="I110" s="1040"/>
      <c r="K110" s="1181"/>
    </row>
    <row r="111" spans="2:11" s="1041" customFormat="1" ht="18" hidden="1">
      <c r="B111" s="1038"/>
      <c r="C111" s="1178"/>
      <c r="D111" s="1187"/>
      <c r="E111" s="1063"/>
      <c r="F111" s="1063"/>
      <c r="G111" s="1168"/>
      <c r="H111" s="1064">
        <f>SUM(E111:G111)</f>
        <v>0</v>
      </c>
      <c r="I111" s="1040"/>
      <c r="K111" s="1181"/>
    </row>
    <row r="112" spans="2:11" s="1059" customFormat="1" ht="18">
      <c r="B112" s="1053"/>
      <c r="C112" s="1118" t="s">
        <v>201</v>
      </c>
      <c r="D112" s="1119" t="s">
        <v>622</v>
      </c>
      <c r="E112" s="1120">
        <f>SUM(E113:E115)</f>
        <v>0</v>
      </c>
      <c r="F112" s="1120">
        <f>SUM(F113:F115)</f>
        <v>0</v>
      </c>
      <c r="G112" s="1120">
        <f>SUM(G113:G115)</f>
        <v>0</v>
      </c>
      <c r="H112" s="1120">
        <f>SUM(H113:H115)</f>
        <v>0</v>
      </c>
      <c r="I112" s="1058"/>
      <c r="K112" s="1181"/>
    </row>
    <row r="113" spans="2:11" s="1041" customFormat="1" ht="18" hidden="1">
      <c r="B113" s="1038"/>
      <c r="C113" s="1060" t="s">
        <v>46</v>
      </c>
      <c r="D113" s="1061" t="s">
        <v>872</v>
      </c>
      <c r="E113" s="1062">
        <f>+'FC-3_1_INF_ADIC_CPyG'!G87</f>
        <v>0</v>
      </c>
      <c r="F113" s="1063"/>
      <c r="G113" s="1063"/>
      <c r="H113" s="1064">
        <f>SUM(E113:G113)</f>
        <v>0</v>
      </c>
      <c r="I113" s="1040"/>
      <c r="K113" s="1181"/>
    </row>
    <row r="114" spans="2:11" s="1041" customFormat="1" ht="18" hidden="1">
      <c r="B114" s="1038"/>
      <c r="C114" s="1176"/>
      <c r="D114" s="1185"/>
      <c r="E114" s="1063"/>
      <c r="F114" s="1063"/>
      <c r="G114" s="1167"/>
      <c r="H114" s="1064">
        <f>SUM(E114:G114)</f>
        <v>0</v>
      </c>
      <c r="I114" s="1040"/>
      <c r="K114" s="1181"/>
    </row>
    <row r="115" spans="2:11" s="1041" customFormat="1" ht="18">
      <c r="B115" s="1038"/>
      <c r="C115" s="1178"/>
      <c r="D115" s="1187"/>
      <c r="E115" s="1063"/>
      <c r="F115" s="1063"/>
      <c r="G115" s="1168"/>
      <c r="H115" s="1064">
        <f>SUM(E115:G115)</f>
        <v>0</v>
      </c>
      <c r="I115" s="1040"/>
      <c r="K115" s="1181"/>
    </row>
    <row r="116" spans="2:11" s="1088" customFormat="1" ht="18">
      <c r="B116" s="1086"/>
      <c r="C116" s="1515" t="s">
        <v>623</v>
      </c>
      <c r="D116" s="1516"/>
      <c r="E116" s="1049">
        <f>E88+E93+E106+E112</f>
        <v>977138.09</v>
      </c>
      <c r="F116" s="1049">
        <f>F88+F93+F106+F112</f>
        <v>0</v>
      </c>
      <c r="G116" s="1049">
        <f>G88+G93+G106+G112</f>
        <v>0</v>
      </c>
      <c r="H116" s="1049">
        <f>H88+H93+H106+H112</f>
        <v>977138.09</v>
      </c>
      <c r="I116" s="1087"/>
      <c r="K116" s="1181"/>
    </row>
    <row r="117" spans="2:11" s="1041" customFormat="1" ht="15.75">
      <c r="B117" s="1038"/>
      <c r="C117" s="980"/>
      <c r="D117" s="1047"/>
      <c r="E117" s="1029"/>
      <c r="F117" s="1029"/>
      <c r="G117" s="1029"/>
      <c r="H117" s="1078"/>
      <c r="I117" s="1040"/>
      <c r="K117" s="1182"/>
    </row>
    <row r="118" spans="2:11" s="1059" customFormat="1" ht="18">
      <c r="B118" s="1053"/>
      <c r="C118" s="1054" t="s">
        <v>212</v>
      </c>
      <c r="D118" s="1055" t="s">
        <v>624</v>
      </c>
      <c r="E118" s="1056">
        <f>SUM(E119:E122)</f>
        <v>0</v>
      </c>
      <c r="F118" s="1056">
        <f>SUM(F119:F122)</f>
        <v>266826.91</v>
      </c>
      <c r="G118" s="1056">
        <f>SUM(G119:G122)</f>
        <v>0</v>
      </c>
      <c r="H118" s="1056">
        <f>SUM(H119:H122)</f>
        <v>266826.91</v>
      </c>
      <c r="I118" s="1058"/>
      <c r="K118" s="1181"/>
    </row>
    <row r="119" spans="2:11" s="1041" customFormat="1" ht="18" hidden="1">
      <c r="B119" s="1038"/>
      <c r="C119" s="1060" t="s">
        <v>49</v>
      </c>
      <c r="D119" s="1079" t="s">
        <v>873</v>
      </c>
      <c r="E119" s="1063"/>
      <c r="F119" s="1092">
        <f>+'FC-7_INF'!F31</f>
        <v>266826.91</v>
      </c>
      <c r="G119" s="1170"/>
      <c r="H119" s="1064">
        <f>SUM(E119:G119)</f>
        <v>266826.91</v>
      </c>
      <c r="I119" s="1040"/>
      <c r="K119" s="1181"/>
    </row>
    <row r="120" spans="2:11" s="1073" customFormat="1" ht="18" hidden="1">
      <c r="B120" s="1071"/>
      <c r="C120" s="1060" t="s">
        <v>49</v>
      </c>
      <c r="D120" s="1079" t="s">
        <v>874</v>
      </c>
      <c r="E120" s="1063"/>
      <c r="F120" s="1092">
        <f>+'FC-7_INF'!H31</f>
        <v>0</v>
      </c>
      <c r="G120" s="1170"/>
      <c r="H120" s="1064">
        <f>SUM(E120:G120)</f>
        <v>0</v>
      </c>
      <c r="I120" s="1072"/>
      <c r="K120" s="1181"/>
    </row>
    <row r="121" spans="2:11" s="1073" customFormat="1" ht="18" hidden="1">
      <c r="B121" s="1071"/>
      <c r="C121" s="1176"/>
      <c r="D121" s="1177"/>
      <c r="E121" s="1063"/>
      <c r="F121" s="1063"/>
      <c r="G121" s="949"/>
      <c r="H121" s="1064">
        <f>SUM(E121:G121)</f>
        <v>0</v>
      </c>
      <c r="I121" s="1072"/>
      <c r="K121" s="1181"/>
    </row>
    <row r="122" spans="2:11" s="1073" customFormat="1" ht="18" hidden="1">
      <c r="B122" s="1071"/>
      <c r="C122" s="1178"/>
      <c r="D122" s="1186"/>
      <c r="E122" s="1128"/>
      <c r="F122" s="1128"/>
      <c r="G122" s="1172"/>
      <c r="H122" s="1064">
        <f>SUM(E122:G122)</f>
        <v>0</v>
      </c>
      <c r="I122" s="1072"/>
      <c r="K122" s="1181"/>
    </row>
    <row r="123" spans="2:11" s="1059" customFormat="1" ht="18">
      <c r="B123" s="1053"/>
      <c r="C123" s="1054" t="s">
        <v>214</v>
      </c>
      <c r="D123" s="1055" t="s">
        <v>611</v>
      </c>
      <c r="E123" s="1056">
        <f>SUM(E124:E126)</f>
        <v>0</v>
      </c>
      <c r="F123" s="1056">
        <f>SUM(F124:F126)</f>
        <v>0</v>
      </c>
      <c r="G123" s="1056">
        <f>SUM(G124:G126)</f>
        <v>0</v>
      </c>
      <c r="H123" s="1056">
        <f>SUM(H124:H126)</f>
        <v>0</v>
      </c>
      <c r="I123" s="1058"/>
      <c r="K123" s="1181"/>
    </row>
    <row r="124" spans="2:12" s="1073" customFormat="1" ht="18" hidden="1">
      <c r="B124" s="1071"/>
      <c r="C124" s="1060" t="s">
        <v>980</v>
      </c>
      <c r="D124" s="1079" t="s">
        <v>875</v>
      </c>
      <c r="E124" s="1063"/>
      <c r="F124" s="1097">
        <f>'FC-4_1_MOV_FP'!G38</f>
        <v>0</v>
      </c>
      <c r="G124" s="1171"/>
      <c r="H124" s="1064">
        <f>SUM(E124:G124)</f>
        <v>0</v>
      </c>
      <c r="I124" s="1072"/>
      <c r="K124" s="1181"/>
      <c r="L124" s="1067"/>
    </row>
    <row r="125" spans="2:11" s="1073" customFormat="1" ht="18" hidden="1">
      <c r="B125" s="1071"/>
      <c r="C125" s="1176"/>
      <c r="D125" s="1177"/>
      <c r="E125" s="1063"/>
      <c r="F125" s="1063"/>
      <c r="G125" s="950"/>
      <c r="H125" s="1064">
        <f>SUM(E125:G125)</f>
        <v>0</v>
      </c>
      <c r="I125" s="1072"/>
      <c r="K125" s="1181"/>
    </row>
    <row r="126" spans="2:11" s="1073" customFormat="1" ht="18">
      <c r="B126" s="1071"/>
      <c r="C126" s="1178"/>
      <c r="D126" s="1186"/>
      <c r="E126" s="1128"/>
      <c r="F126" s="1128"/>
      <c r="G126" s="1173"/>
      <c r="H126" s="1064">
        <f>SUM(E126:G126)</f>
        <v>0</v>
      </c>
      <c r="I126" s="1072"/>
      <c r="K126" s="1181"/>
    </row>
    <row r="127" spans="2:11" s="1088" customFormat="1" ht="18">
      <c r="B127" s="1086"/>
      <c r="C127" s="1515" t="s">
        <v>625</v>
      </c>
      <c r="D127" s="1516"/>
      <c r="E127" s="1049">
        <f>+E118+E123</f>
        <v>0</v>
      </c>
      <c r="F127" s="1049">
        <f>+F118+F123</f>
        <v>266826.91</v>
      </c>
      <c r="G127" s="1049">
        <f>+G118+G123</f>
        <v>0</v>
      </c>
      <c r="H127" s="1049">
        <f>+H118+H123</f>
        <v>266826.91</v>
      </c>
      <c r="I127" s="1087"/>
      <c r="K127" s="1181"/>
    </row>
    <row r="128" spans="2:11" s="1041" customFormat="1" ht="15.75">
      <c r="B128" s="1038"/>
      <c r="C128" s="980"/>
      <c r="D128" s="1047"/>
      <c r="E128" s="1029"/>
      <c r="F128" s="1029"/>
      <c r="G128" s="1029"/>
      <c r="H128" s="1078"/>
      <c r="I128" s="1040"/>
      <c r="K128" s="1182"/>
    </row>
    <row r="129" spans="2:11" s="1059" customFormat="1" ht="18">
      <c r="B129" s="1053"/>
      <c r="C129" s="1054" t="s">
        <v>265</v>
      </c>
      <c r="D129" s="1055" t="s">
        <v>613</v>
      </c>
      <c r="E129" s="1056">
        <f>SUM(E130:E135)</f>
        <v>0</v>
      </c>
      <c r="F129" s="1056">
        <f>SUM(F130:F135)</f>
        <v>0</v>
      </c>
      <c r="G129" s="1056">
        <f>SUM(G130:G135)</f>
        <v>0</v>
      </c>
      <c r="H129" s="1056">
        <f>SUM(H130:H135)</f>
        <v>0</v>
      </c>
      <c r="I129" s="1058"/>
      <c r="K129" s="1181"/>
    </row>
    <row r="130" spans="2:11" s="1073" customFormat="1" ht="18" hidden="1">
      <c r="B130" s="1071"/>
      <c r="C130" s="1060" t="s">
        <v>51</v>
      </c>
      <c r="D130" s="1079" t="s">
        <v>904</v>
      </c>
      <c r="E130" s="1063"/>
      <c r="F130" s="1092">
        <f>'FC-8_INV_FINANCIERAS'!G25</f>
        <v>0</v>
      </c>
      <c r="G130" s="950"/>
      <c r="H130" s="1064">
        <f aca="true" t="shared" si="5" ref="H130:H135">SUM(E130:G130)</f>
        <v>0</v>
      </c>
      <c r="I130" s="1072"/>
      <c r="K130" s="1181"/>
    </row>
    <row r="131" spans="2:11" s="1073" customFormat="1" ht="18" hidden="1">
      <c r="B131" s="1071"/>
      <c r="C131" s="1060" t="s">
        <v>51</v>
      </c>
      <c r="D131" s="1079" t="s">
        <v>905</v>
      </c>
      <c r="E131" s="1063"/>
      <c r="F131" s="1092">
        <f>'FC-8_INV_FINANCIERAS'!G34</f>
        <v>0</v>
      </c>
      <c r="G131" s="1171"/>
      <c r="H131" s="1064">
        <f t="shared" si="5"/>
        <v>0</v>
      </c>
      <c r="I131" s="1072"/>
      <c r="K131" s="1181"/>
    </row>
    <row r="132" spans="2:11" s="1073" customFormat="1" ht="18" hidden="1">
      <c r="B132" s="1071"/>
      <c r="C132" s="1060" t="s">
        <v>51</v>
      </c>
      <c r="D132" s="1079" t="s">
        <v>906</v>
      </c>
      <c r="E132" s="1063"/>
      <c r="F132" s="1092">
        <f>'FC-8_INV_FINANCIERAS'!G49</f>
        <v>0</v>
      </c>
      <c r="G132" s="950"/>
      <c r="H132" s="1064">
        <f t="shared" si="5"/>
        <v>0</v>
      </c>
      <c r="I132" s="1072"/>
      <c r="K132" s="1181"/>
    </row>
    <row r="133" spans="2:11" s="1073" customFormat="1" ht="18" hidden="1">
      <c r="B133" s="1071"/>
      <c r="C133" s="1060" t="s">
        <v>51</v>
      </c>
      <c r="D133" s="1079" t="s">
        <v>876</v>
      </c>
      <c r="E133" s="1063"/>
      <c r="F133" s="1092">
        <f>'FC-8_INV_FINANCIERAS'!G58</f>
        <v>0</v>
      </c>
      <c r="G133" s="950"/>
      <c r="H133" s="1064">
        <f t="shared" si="5"/>
        <v>0</v>
      </c>
      <c r="I133" s="1072"/>
      <c r="K133" s="1181"/>
    </row>
    <row r="134" spans="2:11" s="1073" customFormat="1" ht="18" hidden="1">
      <c r="B134" s="1071"/>
      <c r="C134" s="1176"/>
      <c r="D134" s="1177"/>
      <c r="E134" s="1063"/>
      <c r="F134" s="1063"/>
      <c r="G134" s="950"/>
      <c r="H134" s="1064">
        <f t="shared" si="5"/>
        <v>0</v>
      </c>
      <c r="I134" s="1072"/>
      <c r="K134" s="1181"/>
    </row>
    <row r="135" spans="2:11" s="1073" customFormat="1" ht="18" hidden="1">
      <c r="B135" s="1071"/>
      <c r="C135" s="1178"/>
      <c r="D135" s="1186"/>
      <c r="E135" s="1128"/>
      <c r="F135" s="1128"/>
      <c r="G135" s="1173"/>
      <c r="H135" s="1064">
        <f t="shared" si="5"/>
        <v>0</v>
      </c>
      <c r="I135" s="1072"/>
      <c r="K135" s="1181"/>
    </row>
    <row r="136" spans="2:11" s="1073" customFormat="1" ht="18">
      <c r="B136" s="1071"/>
      <c r="C136" s="1089" t="s">
        <v>267</v>
      </c>
      <c r="D136" s="686" t="s">
        <v>614</v>
      </c>
      <c r="E136" s="1090">
        <f>SUM(E137:E144)</f>
        <v>0</v>
      </c>
      <c r="F136" s="1090">
        <f>SUM(F137:F144)</f>
        <v>0</v>
      </c>
      <c r="G136" s="1090">
        <f>SUM(G137:G144)</f>
        <v>0</v>
      </c>
      <c r="H136" s="1090">
        <f>SUM(H137:H144)</f>
        <v>0</v>
      </c>
      <c r="I136" s="1072"/>
      <c r="K136" s="1181"/>
    </row>
    <row r="137" spans="2:11" s="1073" customFormat="1" ht="18" hidden="1">
      <c r="B137" s="1071"/>
      <c r="C137" s="1060" t="s">
        <v>55</v>
      </c>
      <c r="D137" s="1079" t="s">
        <v>907</v>
      </c>
      <c r="E137" s="1063"/>
      <c r="F137" s="1097">
        <f>'FC-10_DEUDAS'!N43</f>
        <v>0</v>
      </c>
      <c r="G137" s="1171"/>
      <c r="H137" s="1064">
        <f aca="true" t="shared" si="6" ref="H137:H144">SUM(E137:G137)</f>
        <v>0</v>
      </c>
      <c r="I137" s="1072"/>
      <c r="K137" s="1181"/>
    </row>
    <row r="138" spans="2:12" s="1073" customFormat="1" ht="18" hidden="1">
      <c r="B138" s="1071"/>
      <c r="C138" s="1060"/>
      <c r="D138" s="1079" t="s">
        <v>877</v>
      </c>
      <c r="E138" s="1063"/>
      <c r="F138" s="1174"/>
      <c r="G138" s="1171"/>
      <c r="H138" s="1064">
        <f t="shared" si="6"/>
        <v>0</v>
      </c>
      <c r="I138" s="1072"/>
      <c r="K138" s="1181"/>
      <c r="L138" s="1067" t="s">
        <v>952</v>
      </c>
    </row>
    <row r="139" spans="2:12" s="1085" customFormat="1" ht="18" hidden="1">
      <c r="B139" s="1082"/>
      <c r="C139" s="1060"/>
      <c r="D139" s="1079" t="s">
        <v>878</v>
      </c>
      <c r="E139" s="1083"/>
      <c r="F139" s="952"/>
      <c r="G139" s="949"/>
      <c r="H139" s="1064">
        <f t="shared" si="6"/>
        <v>0</v>
      </c>
      <c r="I139" s="1084"/>
      <c r="K139" s="1181"/>
      <c r="L139" s="1067" t="s">
        <v>952</v>
      </c>
    </row>
    <row r="140" spans="2:12" s="1085" customFormat="1" ht="18" hidden="1">
      <c r="B140" s="1082"/>
      <c r="C140" s="1060" t="s">
        <v>55</v>
      </c>
      <c r="D140" s="1079" t="s">
        <v>879</v>
      </c>
      <c r="E140" s="1083"/>
      <c r="F140" s="1097">
        <f>'FC-10_DEUDAS'!N75</f>
        <v>0</v>
      </c>
      <c r="G140" s="1171"/>
      <c r="H140" s="1064">
        <f t="shared" si="6"/>
        <v>0</v>
      </c>
      <c r="I140" s="1084"/>
      <c r="K140" s="1181"/>
      <c r="L140" s="1067"/>
    </row>
    <row r="141" spans="2:11" s="1073" customFormat="1" ht="18" hidden="1">
      <c r="B141" s="1071"/>
      <c r="C141" s="1060" t="s">
        <v>55</v>
      </c>
      <c r="D141" s="1079" t="s">
        <v>880</v>
      </c>
      <c r="E141" s="1063"/>
      <c r="F141" s="1097">
        <f>'FC-10_DEUDAS'!N107</f>
        <v>0</v>
      </c>
      <c r="G141" s="950"/>
      <c r="H141" s="1064">
        <f t="shared" si="6"/>
        <v>0</v>
      </c>
      <c r="I141" s="1072"/>
      <c r="K141" s="1181"/>
    </row>
    <row r="142" spans="2:12" s="1073" customFormat="1" ht="18" hidden="1">
      <c r="B142" s="1071"/>
      <c r="C142" s="1060"/>
      <c r="D142" s="1079" t="s">
        <v>881</v>
      </c>
      <c r="E142" s="1063"/>
      <c r="F142" s="952"/>
      <c r="G142" s="950"/>
      <c r="H142" s="1064">
        <f t="shared" si="6"/>
        <v>0</v>
      </c>
      <c r="I142" s="1072"/>
      <c r="K142" s="1181"/>
      <c r="L142" s="1129" t="s">
        <v>952</v>
      </c>
    </row>
    <row r="143" spans="2:11" s="1073" customFormat="1" ht="18" hidden="1">
      <c r="B143" s="1071"/>
      <c r="C143" s="1176"/>
      <c r="D143" s="1177"/>
      <c r="E143" s="1063"/>
      <c r="F143" s="1063"/>
      <c r="G143" s="950"/>
      <c r="H143" s="1064">
        <f t="shared" si="6"/>
        <v>0</v>
      </c>
      <c r="I143" s="1072"/>
      <c r="K143" s="1181"/>
    </row>
    <row r="144" spans="2:11" s="1073" customFormat="1" ht="18">
      <c r="B144" s="1071"/>
      <c r="C144" s="1178"/>
      <c r="D144" s="1186"/>
      <c r="E144" s="1128"/>
      <c r="F144" s="1128"/>
      <c r="G144" s="1173"/>
      <c r="H144" s="1064">
        <f t="shared" si="6"/>
        <v>0</v>
      </c>
      <c r="I144" s="1072"/>
      <c r="K144" s="1181"/>
    </row>
    <row r="145" spans="2:11" s="1077" customFormat="1" ht="18">
      <c r="B145" s="1074"/>
      <c r="C145" s="1523" t="s">
        <v>626</v>
      </c>
      <c r="D145" s="1524"/>
      <c r="E145" s="1075">
        <f>+E129+E136</f>
        <v>0</v>
      </c>
      <c r="F145" s="1075">
        <f>+F129+F136</f>
        <v>0</v>
      </c>
      <c r="G145" s="1075">
        <f>+G129+G136</f>
        <v>0</v>
      </c>
      <c r="H145" s="1075">
        <f>+H129+H136</f>
        <v>0</v>
      </c>
      <c r="I145" s="1076"/>
      <c r="K145" s="1181"/>
    </row>
    <row r="146" spans="2:11" s="1041" customFormat="1" ht="15">
      <c r="B146" s="1038"/>
      <c r="C146" s="1047"/>
      <c r="D146" s="1028"/>
      <c r="E146" s="1029"/>
      <c r="F146" s="1029"/>
      <c r="G146" s="1029"/>
      <c r="H146" s="1101"/>
      <c r="I146" s="1040"/>
      <c r="K146" s="1182"/>
    </row>
    <row r="147" spans="2:11" s="1088" customFormat="1" ht="18.75" thickBot="1">
      <c r="B147" s="1086"/>
      <c r="C147" s="1525" t="s">
        <v>882</v>
      </c>
      <c r="D147" s="1526"/>
      <c r="E147" s="1130">
        <f>+E116+E127+E145</f>
        <v>977138.09</v>
      </c>
      <c r="F147" s="1130">
        <f>+F116+F127+F145</f>
        <v>266826.91</v>
      </c>
      <c r="G147" s="1130">
        <f>+G116+G127+G145</f>
        <v>0</v>
      </c>
      <c r="H147" s="1130">
        <f>+H116+H127+H145</f>
        <v>1243965</v>
      </c>
      <c r="I147" s="1087"/>
      <c r="K147" s="1181"/>
    </row>
    <row r="148" spans="2:11" s="1041" customFormat="1" ht="15.75">
      <c r="B148" s="1038"/>
      <c r="C148" s="980"/>
      <c r="D148" s="1047"/>
      <c r="E148" s="1029"/>
      <c r="F148" s="1029"/>
      <c r="G148" s="1029"/>
      <c r="H148" s="1078"/>
      <c r="I148" s="1040"/>
      <c r="K148" s="1182"/>
    </row>
    <row r="149" spans="2:11" s="1041" customFormat="1" ht="18.75" thickBot="1">
      <c r="B149" s="1038"/>
      <c r="C149" s="1131" t="s">
        <v>883</v>
      </c>
      <c r="D149" s="1132"/>
      <c r="E149" s="1133">
        <f>E70-E147</f>
        <v>-351190.4199999999</v>
      </c>
      <c r="F149" s="1133">
        <f>F70-F147</f>
        <v>351175.97000000003</v>
      </c>
      <c r="G149" s="1133">
        <f>G70-G147</f>
        <v>0</v>
      </c>
      <c r="H149" s="1133">
        <f>H70-H147</f>
        <v>-14.449999999953434</v>
      </c>
      <c r="I149" s="1040"/>
      <c r="K149" s="1181"/>
    </row>
    <row r="150" spans="2:11" s="1041" customFormat="1" ht="16.5" thickTop="1">
      <c r="B150" s="1038"/>
      <c r="C150" s="980"/>
      <c r="D150" s="1047"/>
      <c r="E150" s="1029"/>
      <c r="F150" s="1029"/>
      <c r="G150" s="1029"/>
      <c r="H150" s="1078"/>
      <c r="I150" s="1040"/>
      <c r="K150" s="1182"/>
    </row>
    <row r="151" spans="2:11" s="1041" customFormat="1" ht="15.75">
      <c r="B151" s="1038"/>
      <c r="C151" s="980"/>
      <c r="D151" s="1047"/>
      <c r="E151" s="1029"/>
      <c r="F151" s="1029"/>
      <c r="G151" s="1029"/>
      <c r="H151" s="1078"/>
      <c r="I151" s="1040"/>
      <c r="K151" s="1182"/>
    </row>
    <row r="152" spans="2:11" s="1138" customFormat="1" ht="18">
      <c r="B152" s="1134"/>
      <c r="C152" s="1527" t="s">
        <v>628</v>
      </c>
      <c r="D152" s="1528"/>
      <c r="E152" s="1135">
        <f>SUM(E153:E164)</f>
        <v>328052.5</v>
      </c>
      <c r="F152" s="1136">
        <f>SUM(F153:F164)</f>
        <v>0</v>
      </c>
      <c r="G152" s="1136">
        <f>SUM(G153:G164)</f>
        <v>0</v>
      </c>
      <c r="H152" s="1136">
        <f>SUM(H153:H164)</f>
        <v>328052.5</v>
      </c>
      <c r="I152" s="1137"/>
      <c r="K152" s="1181"/>
    </row>
    <row r="153" spans="2:12" s="1073" customFormat="1" ht="18" hidden="1">
      <c r="B153" s="1071"/>
      <c r="C153" s="1060" t="s">
        <v>40</v>
      </c>
      <c r="D153" s="1061" t="s">
        <v>846</v>
      </c>
      <c r="E153" s="1062">
        <f>IF('FC-3_CPyG'!G20&lt;0,-'FC-3_CPyG'!G20,0)</f>
        <v>0</v>
      </c>
      <c r="F153" s="1063"/>
      <c r="G153" s="1063"/>
      <c r="H153" s="1064">
        <f>SUM(E153:G153)</f>
        <v>0</v>
      </c>
      <c r="I153" s="1072"/>
      <c r="K153" s="1181"/>
      <c r="L153" s="1073" t="s">
        <v>884</v>
      </c>
    </row>
    <row r="154" spans="2:11" s="1041" customFormat="1" ht="18" hidden="1">
      <c r="B154" s="1038"/>
      <c r="C154" s="1060" t="s">
        <v>40</v>
      </c>
      <c r="D154" s="1061" t="s">
        <v>885</v>
      </c>
      <c r="E154" s="1062">
        <f>-'FC-3_CPyG'!G26</f>
        <v>0</v>
      </c>
      <c r="F154" s="1063"/>
      <c r="G154" s="1063"/>
      <c r="H154" s="1064">
        <f aca="true" t="shared" si="7" ref="H154:H164">SUM(E154:G154)</f>
        <v>0</v>
      </c>
      <c r="I154" s="1040"/>
      <c r="K154" s="1181"/>
    </row>
    <row r="155" spans="2:11" s="1041" customFormat="1" ht="18" hidden="1">
      <c r="B155" s="1038"/>
      <c r="C155" s="1060" t="s">
        <v>40</v>
      </c>
      <c r="D155" s="1061" t="s">
        <v>886</v>
      </c>
      <c r="E155" s="1062">
        <f>-'FC-3_CPyG'!G33</f>
        <v>0</v>
      </c>
      <c r="F155" s="1063"/>
      <c r="G155" s="1063"/>
      <c r="H155" s="1064">
        <f t="shared" si="7"/>
        <v>0</v>
      </c>
      <c r="I155" s="1040"/>
      <c r="K155" s="1181"/>
    </row>
    <row r="156" spans="2:11" s="1041" customFormat="1" ht="18" hidden="1">
      <c r="B156" s="1038"/>
      <c r="C156" s="1060" t="s">
        <v>40</v>
      </c>
      <c r="D156" s="1061" t="s">
        <v>887</v>
      </c>
      <c r="E156" s="1062">
        <f>-'FC-3_CPyG'!G37</f>
        <v>0</v>
      </c>
      <c r="F156" s="1063"/>
      <c r="G156" s="1063"/>
      <c r="H156" s="1064">
        <f t="shared" si="7"/>
        <v>0</v>
      </c>
      <c r="I156" s="1040"/>
      <c r="K156" s="1181"/>
    </row>
    <row r="157" spans="2:11" s="1041" customFormat="1" ht="18" hidden="1">
      <c r="B157" s="1038"/>
      <c r="C157" s="1060" t="s">
        <v>40</v>
      </c>
      <c r="D157" s="1061" t="s">
        <v>888</v>
      </c>
      <c r="E157" s="1062">
        <f>-'FC-3_CPyG'!G40</f>
        <v>328052.5</v>
      </c>
      <c r="F157" s="1063"/>
      <c r="G157" s="1063"/>
      <c r="H157" s="1064">
        <f t="shared" si="7"/>
        <v>328052.5</v>
      </c>
      <c r="I157" s="1040"/>
      <c r="K157" s="1181"/>
    </row>
    <row r="158" spans="2:11" s="1041" customFormat="1" ht="18" hidden="1">
      <c r="B158" s="1038"/>
      <c r="C158" s="1060" t="s">
        <v>40</v>
      </c>
      <c r="D158" s="1061" t="s">
        <v>889</v>
      </c>
      <c r="E158" s="1062">
        <f>-'FC-3_CPyG'!G44</f>
        <v>0</v>
      </c>
      <c r="F158" s="1063"/>
      <c r="G158" s="1063"/>
      <c r="H158" s="1064">
        <f t="shared" si="7"/>
        <v>0</v>
      </c>
      <c r="I158" s="1040"/>
      <c r="K158" s="1181"/>
    </row>
    <row r="159" spans="2:11" s="1041" customFormat="1" ht="18" hidden="1">
      <c r="B159" s="1038"/>
      <c r="C159" s="1232" t="s">
        <v>40</v>
      </c>
      <c r="D159" s="1233" t="s">
        <v>852</v>
      </c>
      <c r="E159" s="1234">
        <f>IF('FC-3_CPyG'!G45&lt;0,-'FC-3_CPyG'!G45,0)</f>
        <v>0</v>
      </c>
      <c r="F159" s="1063"/>
      <c r="G159" s="1063"/>
      <c r="H159" s="1064">
        <f t="shared" si="7"/>
        <v>0</v>
      </c>
      <c r="I159" s="1040"/>
      <c r="K159" s="1235" t="s">
        <v>983</v>
      </c>
    </row>
    <row r="160" spans="2:12" s="1041" customFormat="1" ht="18" hidden="1">
      <c r="B160" s="1038"/>
      <c r="C160" s="1060" t="s">
        <v>40</v>
      </c>
      <c r="D160" s="1061" t="s">
        <v>890</v>
      </c>
      <c r="E160" s="1062">
        <f>-'FC-3_CPyG'!G46</f>
        <v>0</v>
      </c>
      <c r="F160" s="1063"/>
      <c r="G160" s="1063"/>
      <c r="H160" s="1064">
        <f t="shared" si="7"/>
        <v>0</v>
      </c>
      <c r="I160" s="1040"/>
      <c r="K160" s="1181"/>
      <c r="L160" s="1121"/>
    </row>
    <row r="161" spans="2:12" s="1041" customFormat="1" ht="18" hidden="1">
      <c r="B161" s="1038"/>
      <c r="C161" s="1060" t="s">
        <v>1017</v>
      </c>
      <c r="D161" s="1061" t="s">
        <v>1019</v>
      </c>
      <c r="E161" s="1062">
        <f>-'FC-3_1_INF_ADIC_CPyG'!G61</f>
        <v>0</v>
      </c>
      <c r="F161" s="1063"/>
      <c r="G161" s="1063"/>
      <c r="H161" s="1064">
        <f t="shared" si="7"/>
        <v>0</v>
      </c>
      <c r="I161" s="1040"/>
      <c r="K161" s="1181"/>
      <c r="L161" s="1121"/>
    </row>
    <row r="162" spans="2:11" s="1041" customFormat="1" ht="18" hidden="1">
      <c r="B162" s="1038"/>
      <c r="C162" s="1060" t="s">
        <v>40</v>
      </c>
      <c r="D162" s="1061" t="s">
        <v>891</v>
      </c>
      <c r="E162" s="1062">
        <f>-'FC-3_CPyG'!G62</f>
        <v>0</v>
      </c>
      <c r="F162" s="1063"/>
      <c r="G162" s="1063"/>
      <c r="H162" s="1064">
        <f t="shared" si="7"/>
        <v>0</v>
      </c>
      <c r="I162" s="1040"/>
      <c r="K162" s="1181"/>
    </row>
    <row r="163" spans="2:11" s="1041" customFormat="1" ht="18" hidden="1">
      <c r="B163" s="1038"/>
      <c r="C163" s="1060" t="s">
        <v>40</v>
      </c>
      <c r="D163" s="1061" t="s">
        <v>892</v>
      </c>
      <c r="E163" s="1062">
        <f>-'FC-3_CPyG'!G66</f>
        <v>0</v>
      </c>
      <c r="F163" s="1063"/>
      <c r="G163" s="1063"/>
      <c r="H163" s="1064">
        <f t="shared" si="7"/>
        <v>0</v>
      </c>
      <c r="I163" s="1040"/>
      <c r="K163" s="1181"/>
    </row>
    <row r="164" spans="2:11" s="1041" customFormat="1" ht="18" hidden="1">
      <c r="B164" s="1038"/>
      <c r="C164" s="1139" t="s">
        <v>40</v>
      </c>
      <c r="D164" s="1140" t="s">
        <v>893</v>
      </c>
      <c r="E164" s="1141">
        <f>-'FC-3_CPyG'!G67</f>
        <v>0</v>
      </c>
      <c r="F164" s="1142"/>
      <c r="G164" s="1142"/>
      <c r="H164" s="1143">
        <f t="shared" si="7"/>
        <v>0</v>
      </c>
      <c r="I164" s="1040"/>
      <c r="K164" s="1181"/>
    </row>
    <row r="165" spans="2:11" s="1041" customFormat="1" ht="15">
      <c r="B165" s="1038"/>
      <c r="C165" s="1107"/>
      <c r="D165" s="1144"/>
      <c r="E165" s="1144"/>
      <c r="F165" s="1144"/>
      <c r="G165" s="1144"/>
      <c r="H165" s="1144"/>
      <c r="I165" s="1040"/>
      <c r="K165" s="1182"/>
    </row>
    <row r="166" spans="2:11" s="1041" customFormat="1" ht="18.75" thickBot="1">
      <c r="B166" s="1038"/>
      <c r="C166" s="1513" t="s">
        <v>898</v>
      </c>
      <c r="D166" s="1514"/>
      <c r="E166" s="1109">
        <f>+E147+E152</f>
        <v>1305190.5899999999</v>
      </c>
      <c r="F166" s="1109">
        <f>+F147+F152</f>
        <v>266826.91</v>
      </c>
      <c r="G166" s="1109">
        <f>+G147+G152</f>
        <v>0</v>
      </c>
      <c r="H166" s="1109">
        <f>+H147+H152</f>
        <v>1572017.5</v>
      </c>
      <c r="I166" s="1040"/>
      <c r="K166" s="1181"/>
    </row>
    <row r="167" spans="2:11" s="1041" customFormat="1" ht="18">
      <c r="B167" s="1038"/>
      <c r="C167" s="1145"/>
      <c r="D167" s="1145"/>
      <c r="E167" s="1146"/>
      <c r="F167" s="1146"/>
      <c r="G167" s="1146"/>
      <c r="H167" s="1146"/>
      <c r="I167" s="1040"/>
      <c r="K167" s="1182"/>
    </row>
    <row r="168" spans="2:11" s="1041" customFormat="1" ht="18.75" thickBot="1">
      <c r="B168" s="1038"/>
      <c r="C168" s="1131" t="s">
        <v>896</v>
      </c>
      <c r="D168" s="1132"/>
      <c r="E168" s="1133">
        <f>+E83-E166</f>
        <v>-353373.5199999998</v>
      </c>
      <c r="F168" s="1133">
        <f>+F83-F166</f>
        <v>351175.97000000003</v>
      </c>
      <c r="G168" s="1133">
        <f>+G83-G166</f>
        <v>0</v>
      </c>
      <c r="H168" s="1133">
        <f>+H83-H166</f>
        <v>-2197.5499999998137</v>
      </c>
      <c r="I168" s="1040"/>
      <c r="K168" s="1181"/>
    </row>
    <row r="169" spans="2:11" s="1041" customFormat="1" ht="15.75" thickTop="1">
      <c r="B169" s="1038"/>
      <c r="C169" s="1107"/>
      <c r="D169" s="1107"/>
      <c r="E169" s="1147"/>
      <c r="F169" s="1147"/>
      <c r="G169" s="1147"/>
      <c r="H169" s="1148"/>
      <c r="I169" s="1040"/>
      <c r="K169" s="1182"/>
    </row>
    <row r="170" spans="2:11" s="1041" customFormat="1" ht="18">
      <c r="B170" s="1038"/>
      <c r="C170" s="1529" t="s">
        <v>894</v>
      </c>
      <c r="D170" s="1530"/>
      <c r="E170" s="1149">
        <f>E171+E178+E180+E186+E187+E194</f>
        <v>0</v>
      </c>
      <c r="F170" s="1149">
        <f>F171+F178+F180+F186+F187+F194+F196</f>
        <v>2197.549999999639</v>
      </c>
      <c r="G170" s="1149">
        <f>G171+G178+G180+G186+G187+G194+G196</f>
        <v>0</v>
      </c>
      <c r="H170" s="1149">
        <f>H171+H178+H180+H186+H187+H194+H196</f>
        <v>2197.549999999639</v>
      </c>
      <c r="I170" s="1040"/>
      <c r="K170" s="1181"/>
    </row>
    <row r="171" spans="2:11" s="1041" customFormat="1" ht="18" hidden="1">
      <c r="B171" s="1038"/>
      <c r="C171" s="1150" t="s">
        <v>183</v>
      </c>
      <c r="D171" s="1079"/>
      <c r="E171" s="1151"/>
      <c r="F171" s="1531">
        <f>SUM(F174:F177)</f>
        <v>328052.5</v>
      </c>
      <c r="G171" s="1531">
        <f>SUM(G174:G177)</f>
        <v>0</v>
      </c>
      <c r="H171" s="1531">
        <f>F171+G171</f>
        <v>328052.5</v>
      </c>
      <c r="I171" s="1040"/>
      <c r="K171" s="1181"/>
    </row>
    <row r="172" spans="2:11" s="1041" customFormat="1" ht="18" hidden="1">
      <c r="B172" s="1038"/>
      <c r="C172" s="1152" t="s">
        <v>193</v>
      </c>
      <c r="D172" s="1079"/>
      <c r="E172" s="1151"/>
      <c r="F172" s="1532"/>
      <c r="G172" s="1532"/>
      <c r="H172" s="1532"/>
      <c r="I172" s="1040"/>
      <c r="K172" s="1181"/>
    </row>
    <row r="173" spans="2:11" s="1041" customFormat="1" ht="18" hidden="1">
      <c r="B173" s="1038"/>
      <c r="C173" s="1152" t="s">
        <v>198</v>
      </c>
      <c r="D173" s="1079"/>
      <c r="E173" s="1151"/>
      <c r="F173" s="1533"/>
      <c r="G173" s="1533"/>
      <c r="H173" s="1533"/>
      <c r="I173" s="1040"/>
      <c r="K173" s="1181"/>
    </row>
    <row r="174" spans="2:11" s="1041" customFormat="1" ht="18" hidden="1">
      <c r="B174" s="1038"/>
      <c r="C174" s="1060" t="s">
        <v>49</v>
      </c>
      <c r="D174" s="1079" t="s">
        <v>909</v>
      </c>
      <c r="E174" s="1063"/>
      <c r="F174" s="1092">
        <f>-'FC-7_INF'!G31</f>
        <v>0</v>
      </c>
      <c r="G174" s="1170"/>
      <c r="H174" s="1064"/>
      <c r="I174" s="1040"/>
      <c r="K174" s="1181"/>
    </row>
    <row r="175" spans="2:11" s="1041" customFormat="1" ht="18" hidden="1">
      <c r="B175" s="1038"/>
      <c r="C175" s="1060" t="s">
        <v>49</v>
      </c>
      <c r="D175" s="1079" t="s">
        <v>910</v>
      </c>
      <c r="E175" s="1063"/>
      <c r="F175" s="1092">
        <f>-'FC-7_INF'!I31</f>
        <v>328052.5</v>
      </c>
      <c r="G175" s="1170"/>
      <c r="H175" s="1064"/>
      <c r="I175" s="1040"/>
      <c r="K175" s="1181"/>
    </row>
    <row r="176" spans="2:11" s="1041" customFormat="1" ht="18" hidden="1">
      <c r="B176" s="1038"/>
      <c r="C176" s="1060" t="s">
        <v>49</v>
      </c>
      <c r="D176" s="1079" t="s">
        <v>911</v>
      </c>
      <c r="E176" s="1063"/>
      <c r="F176" s="1092">
        <f>-'FC-7_INF'!J31</f>
        <v>0</v>
      </c>
      <c r="G176" s="1170"/>
      <c r="H176" s="1064"/>
      <c r="I176" s="1040"/>
      <c r="K176" s="1181"/>
    </row>
    <row r="177" spans="2:11" s="1041" customFormat="1" ht="18" hidden="1">
      <c r="B177" s="1038"/>
      <c r="C177" s="1060" t="s">
        <v>49</v>
      </c>
      <c r="D177" s="1079" t="s">
        <v>912</v>
      </c>
      <c r="E177" s="1063"/>
      <c r="F177" s="1092">
        <f>-'FC-7_INF'!L31</f>
        <v>0</v>
      </c>
      <c r="G177" s="1170"/>
      <c r="H177" s="1064"/>
      <c r="I177" s="1040"/>
      <c r="K177" s="1181"/>
    </row>
    <row r="178" spans="2:11" s="1041" customFormat="1" ht="18" hidden="1">
      <c r="B178" s="1038"/>
      <c r="C178" s="1152" t="s">
        <v>52</v>
      </c>
      <c r="D178" s="1079"/>
      <c r="E178" s="1063"/>
      <c r="F178" s="1153">
        <f>F179</f>
        <v>0</v>
      </c>
      <c r="G178" s="1153">
        <f>G179</f>
        <v>0</v>
      </c>
      <c r="H178" s="1154">
        <f>F178+G178</f>
        <v>0</v>
      </c>
      <c r="I178" s="1040"/>
      <c r="K178" s="1181"/>
    </row>
    <row r="179" spans="2:11" s="1041" customFormat="1" ht="18" hidden="1">
      <c r="B179" s="1038"/>
      <c r="C179" s="1060" t="s">
        <v>51</v>
      </c>
      <c r="D179" s="1079" t="s">
        <v>415</v>
      </c>
      <c r="E179" s="1063"/>
      <c r="F179" s="1092">
        <f>-'FC-8_INV_FINANCIERAS'!I25-'FC-8_INV_FINANCIERAS'!I34-'FC-8_INV_FINANCIERAS'!I49-'FC-8_INV_FINANCIERAS'!I58</f>
        <v>0</v>
      </c>
      <c r="G179" s="1170"/>
      <c r="H179" s="1064"/>
      <c r="I179" s="1040"/>
      <c r="K179" s="1181"/>
    </row>
    <row r="180" spans="2:11" s="1041" customFormat="1" ht="18" hidden="1">
      <c r="B180" s="1038"/>
      <c r="C180" s="1152" t="s">
        <v>913</v>
      </c>
      <c r="D180" s="1079"/>
      <c r="E180" s="1063"/>
      <c r="F180" s="1153">
        <f>SUM(F181:F185)</f>
        <v>1197318.1099999999</v>
      </c>
      <c r="G180" s="1153">
        <f>SUM(G181:G185)</f>
        <v>0</v>
      </c>
      <c r="H180" s="1154">
        <f>F180+G180</f>
        <v>1197318.1099999999</v>
      </c>
      <c r="I180" s="1040"/>
      <c r="K180" s="1181"/>
    </row>
    <row r="181" spans="2:11" s="1041" customFormat="1" ht="18" hidden="1">
      <c r="B181" s="1038"/>
      <c r="C181" s="1060" t="s">
        <v>923</v>
      </c>
      <c r="D181" s="1079" t="s">
        <v>917</v>
      </c>
      <c r="E181" s="1063"/>
      <c r="F181" s="1092">
        <f>'FC-4_ACTIVO'!F51-'FC-4_ACTIVO'!G51</f>
        <v>0</v>
      </c>
      <c r="G181" s="1170"/>
      <c r="H181" s="1064"/>
      <c r="I181" s="1040"/>
      <c r="K181" s="1181"/>
    </row>
    <row r="182" spans="2:11" s="1041" customFormat="1" ht="18" hidden="1">
      <c r="B182" s="1038"/>
      <c r="C182" s="1060" t="s">
        <v>923</v>
      </c>
      <c r="D182" s="1079" t="s">
        <v>918</v>
      </c>
      <c r="E182" s="1063"/>
      <c r="F182" s="1092">
        <f>'FC-4_ACTIVO'!F52-'FC-4_ACTIVO'!G52</f>
        <v>0</v>
      </c>
      <c r="G182" s="1170"/>
      <c r="H182" s="1064"/>
      <c r="I182" s="1040"/>
      <c r="K182" s="1181"/>
    </row>
    <row r="183" spans="2:11" s="1041" customFormat="1" ht="18" hidden="1">
      <c r="B183" s="1038"/>
      <c r="C183" s="1060" t="s">
        <v>923</v>
      </c>
      <c r="D183" s="1079" t="s">
        <v>919</v>
      </c>
      <c r="E183" s="1063"/>
      <c r="F183" s="1092">
        <f>'FC-4_ACTIVO'!F65-'FC-4_ACTIVO'!G65</f>
        <v>700463</v>
      </c>
      <c r="G183" s="1170"/>
      <c r="H183" s="1064"/>
      <c r="I183" s="1040"/>
      <c r="K183" s="1181"/>
    </row>
    <row r="184" spans="2:11" s="1041" customFormat="1" ht="18" hidden="1">
      <c r="B184" s="1038"/>
      <c r="C184" s="1060" t="s">
        <v>923</v>
      </c>
      <c r="D184" s="1079" t="s">
        <v>920</v>
      </c>
      <c r="E184" s="1063"/>
      <c r="F184" s="1092">
        <f>'FC-4_ACTIVO'!F89-'FC-4_ACTIVO'!G89</f>
        <v>0</v>
      </c>
      <c r="G184" s="1170"/>
      <c r="H184" s="1064"/>
      <c r="I184" s="1040"/>
      <c r="K184" s="1181"/>
    </row>
    <row r="185" spans="2:11" s="1041" customFormat="1" ht="18" hidden="1">
      <c r="B185" s="1038"/>
      <c r="C185" s="1060" t="s">
        <v>923</v>
      </c>
      <c r="D185" s="1079" t="s">
        <v>921</v>
      </c>
      <c r="E185" s="1063"/>
      <c r="F185" s="1092">
        <f>'FC-4_ACTIVO'!F90-'FC-4_ACTIVO'!G90</f>
        <v>496855.11</v>
      </c>
      <c r="G185" s="1170"/>
      <c r="H185" s="1064"/>
      <c r="I185" s="1040"/>
      <c r="K185" s="1181"/>
    </row>
    <row r="186" spans="2:11" s="1041" customFormat="1" ht="18" hidden="1">
      <c r="B186" s="1038"/>
      <c r="C186" s="1155" t="s">
        <v>914</v>
      </c>
      <c r="D186" s="1079"/>
      <c r="E186" s="1063"/>
      <c r="F186" s="1153">
        <f>'FC-4_ACTIVO'!F48-'FC-4_ACTIVO'!G48</f>
        <v>0</v>
      </c>
      <c r="G186" s="1170"/>
      <c r="H186" s="1154">
        <f>F186+G186</f>
        <v>0</v>
      </c>
      <c r="I186" s="1040"/>
      <c r="K186" s="1181"/>
    </row>
    <row r="187" spans="2:11" s="1041" customFormat="1" ht="18" hidden="1">
      <c r="B187" s="1038"/>
      <c r="C187" s="1152" t="s">
        <v>915</v>
      </c>
      <c r="D187" s="1079"/>
      <c r="E187" s="1063"/>
      <c r="F187" s="1153">
        <f>SUM(F188:F193)</f>
        <v>-1278771.0100000002</v>
      </c>
      <c r="G187" s="1153">
        <f>SUM(G189:G191)</f>
        <v>0</v>
      </c>
      <c r="H187" s="1154">
        <f>F187+G187</f>
        <v>-1278771.0100000002</v>
      </c>
      <c r="I187" s="1040"/>
      <c r="K187" s="1181"/>
    </row>
    <row r="188" spans="2:11" s="1041" customFormat="1" ht="18" hidden="1">
      <c r="B188" s="1038"/>
      <c r="C188" s="1060" t="s">
        <v>924</v>
      </c>
      <c r="D188" s="1079" t="s">
        <v>978</v>
      </c>
      <c r="E188" s="1063"/>
      <c r="F188" s="1092">
        <f>'FC-4_PASIVO'!G44-'FC-4_PASIVO'!F44</f>
        <v>0</v>
      </c>
      <c r="G188" s="1153"/>
      <c r="H188" s="1154"/>
      <c r="I188" s="1040"/>
      <c r="K188" s="1181"/>
    </row>
    <row r="189" spans="2:11" s="1041" customFormat="1" ht="18" hidden="1">
      <c r="B189" s="1038"/>
      <c r="C189" s="1060" t="s">
        <v>924</v>
      </c>
      <c r="D189" s="1079" t="s">
        <v>922</v>
      </c>
      <c r="E189" s="1063"/>
      <c r="F189" s="1092">
        <f>'FC-9_TRANS_SUBV'!K33</f>
        <v>-81467.35</v>
      </c>
      <c r="G189" s="1170"/>
      <c r="H189" s="1064"/>
      <c r="I189" s="1040"/>
      <c r="K189" s="1181"/>
    </row>
    <row r="190" spans="2:11" s="1041" customFormat="1" ht="18" hidden="1">
      <c r="B190" s="1038"/>
      <c r="C190" s="1060" t="s">
        <v>924</v>
      </c>
      <c r="D190" s="1079" t="s">
        <v>925</v>
      </c>
      <c r="E190" s="1063"/>
      <c r="F190" s="1092">
        <f>'FC-4_PASIVO'!G57-'FC-4_PASIVO'!F57</f>
        <v>0</v>
      </c>
      <c r="G190" s="1170"/>
      <c r="H190" s="1064"/>
      <c r="I190" s="1040"/>
      <c r="K190" s="1181"/>
    </row>
    <row r="191" spans="2:11" s="1041" customFormat="1" ht="18" hidden="1">
      <c r="B191" s="1038"/>
      <c r="C191" s="1060" t="s">
        <v>924</v>
      </c>
      <c r="D191" s="1079" t="s">
        <v>926</v>
      </c>
      <c r="E191" s="1063"/>
      <c r="F191" s="1092">
        <f>'FC-4_PASIVO'!G73-'FC-4_PASIVO'!F73</f>
        <v>-1197303.6600000001</v>
      </c>
      <c r="G191" s="1170"/>
      <c r="H191" s="1064"/>
      <c r="I191" s="1040"/>
      <c r="K191" s="1181"/>
    </row>
    <row r="192" spans="2:11" s="1041" customFormat="1" ht="18" hidden="1">
      <c r="B192" s="1038"/>
      <c r="C192" s="1060" t="s">
        <v>924</v>
      </c>
      <c r="D192" s="1079" t="s">
        <v>979</v>
      </c>
      <c r="E192" s="1063"/>
      <c r="F192" s="1092">
        <f>'FC-4_PASIVO'!G63-'FC-4_PASIVO'!F63</f>
        <v>0</v>
      </c>
      <c r="G192" s="1170"/>
      <c r="H192" s="1064"/>
      <c r="I192" s="1040"/>
      <c r="K192" s="1181"/>
    </row>
    <row r="193" spans="2:11" s="1041" customFormat="1" ht="18" hidden="1">
      <c r="B193" s="1038"/>
      <c r="C193" s="1060" t="s">
        <v>924</v>
      </c>
      <c r="D193" s="1079" t="s">
        <v>982</v>
      </c>
      <c r="E193" s="1063"/>
      <c r="F193" s="1092">
        <f>'FC-4_PASIVO'!G83-'FC-4_PASIVO'!F83</f>
        <v>0</v>
      </c>
      <c r="G193" s="1170"/>
      <c r="H193" s="1064"/>
      <c r="I193" s="1040"/>
      <c r="K193" s="1181"/>
    </row>
    <row r="194" spans="2:11" s="1041" customFormat="1" ht="18" hidden="1">
      <c r="B194" s="1038"/>
      <c r="C194" s="1152" t="s">
        <v>916</v>
      </c>
      <c r="D194" s="1079"/>
      <c r="E194" s="1063"/>
      <c r="F194" s="1153">
        <f>F195</f>
        <v>-244402.05</v>
      </c>
      <c r="G194" s="1153">
        <f>G195</f>
        <v>0</v>
      </c>
      <c r="H194" s="1154">
        <f>F194+G194</f>
        <v>-244402.05</v>
      </c>
      <c r="I194" s="1040"/>
      <c r="K194" s="1181"/>
    </row>
    <row r="195" spans="2:11" s="1041" customFormat="1" ht="18" hidden="1">
      <c r="B195" s="1038"/>
      <c r="C195" s="1060" t="s">
        <v>924</v>
      </c>
      <c r="D195" s="1079" t="s">
        <v>895</v>
      </c>
      <c r="E195" s="1063"/>
      <c r="F195" s="1092">
        <f>'FC-9_TRANS_SUBV'!J33</f>
        <v>-244402.05</v>
      </c>
      <c r="G195" s="1092">
        <v>0</v>
      </c>
      <c r="H195" s="1064"/>
      <c r="I195" s="1040"/>
      <c r="K195" s="1181"/>
    </row>
    <row r="196" spans="2:11" s="1041" customFormat="1" ht="18" hidden="1">
      <c r="B196" s="1038"/>
      <c r="C196" s="1152" t="s">
        <v>956</v>
      </c>
      <c r="D196" s="1079"/>
      <c r="E196" s="1063"/>
      <c r="F196" s="1153">
        <f>SUM(F197:F201)</f>
        <v>0</v>
      </c>
      <c r="G196" s="1153">
        <f>SUM(G197:G201)</f>
        <v>0</v>
      </c>
      <c r="H196" s="1153">
        <f>SUM(F196:G196)</f>
        <v>0</v>
      </c>
      <c r="I196" s="1040"/>
      <c r="K196" s="1181"/>
    </row>
    <row r="197" spans="2:11" s="1041" customFormat="1" ht="18" hidden="1">
      <c r="B197" s="1038"/>
      <c r="C197" s="1176"/>
      <c r="D197" s="1177"/>
      <c r="E197" s="1063"/>
      <c r="F197" s="1170"/>
      <c r="G197" s="1170"/>
      <c r="H197" s="1064"/>
      <c r="I197" s="1040"/>
      <c r="K197" s="1181"/>
    </row>
    <row r="198" spans="2:11" s="1041" customFormat="1" ht="18" hidden="1">
      <c r="B198" s="1038"/>
      <c r="C198" s="1176"/>
      <c r="D198" s="1177"/>
      <c r="E198" s="1063"/>
      <c r="F198" s="1170"/>
      <c r="G198" s="1170"/>
      <c r="H198" s="1064"/>
      <c r="I198" s="1040"/>
      <c r="K198" s="1181"/>
    </row>
    <row r="199" spans="2:11" s="1041" customFormat="1" ht="18" hidden="1">
      <c r="B199" s="1038"/>
      <c r="C199" s="1176"/>
      <c r="D199" s="1177"/>
      <c r="E199" s="1063"/>
      <c r="F199" s="1170"/>
      <c r="G199" s="1170"/>
      <c r="H199" s="1064"/>
      <c r="I199" s="1040"/>
      <c r="K199" s="1181"/>
    </row>
    <row r="200" spans="2:11" s="1041" customFormat="1" ht="18" hidden="1">
      <c r="B200" s="1038"/>
      <c r="C200" s="1178"/>
      <c r="D200" s="1177"/>
      <c r="E200" s="1128"/>
      <c r="F200" s="1172"/>
      <c r="G200" s="1172"/>
      <c r="H200" s="1064"/>
      <c r="I200" s="1040"/>
      <c r="K200" s="1181"/>
    </row>
    <row r="201" spans="2:11" s="1041" customFormat="1" ht="18.75" hidden="1" thickBot="1">
      <c r="B201" s="1038"/>
      <c r="C201" s="1179"/>
      <c r="D201" s="1180"/>
      <c r="E201" s="1156"/>
      <c r="F201" s="1175"/>
      <c r="G201" s="1175"/>
      <c r="H201" s="1157"/>
      <c r="I201" s="1040"/>
      <c r="K201" s="1181"/>
    </row>
    <row r="202" spans="2:9" s="1041" customFormat="1" ht="15">
      <c r="B202" s="1038"/>
      <c r="C202" s="1107"/>
      <c r="D202" s="1144"/>
      <c r="E202" s="1144"/>
      <c r="F202" s="1144"/>
      <c r="G202" s="1144"/>
      <c r="H202" s="1148"/>
      <c r="I202" s="1040"/>
    </row>
    <row r="203" spans="2:11" ht="15.75" thickBot="1">
      <c r="B203" s="1158"/>
      <c r="C203" s="1512"/>
      <c r="D203" s="1512"/>
      <c r="E203" s="1159"/>
      <c r="F203" s="1159"/>
      <c r="G203" s="1159"/>
      <c r="H203" s="1160"/>
      <c r="I203" s="1161"/>
      <c r="K203" s="1041"/>
    </row>
    <row r="204" spans="3:8" ht="12.75">
      <c r="C204" s="625"/>
      <c r="D204" s="625"/>
      <c r="E204" s="1035"/>
      <c r="F204" s="1035"/>
      <c r="G204" s="1035"/>
      <c r="H204" s="625"/>
    </row>
    <row r="205" spans="3:8" ht="12.75">
      <c r="C205" s="1162" t="s">
        <v>70</v>
      </c>
      <c r="D205" s="625"/>
      <c r="E205" s="1035"/>
      <c r="F205" s="1035"/>
      <c r="G205" s="1035"/>
      <c r="H205" s="1025" t="s">
        <v>955</v>
      </c>
    </row>
    <row r="206" spans="3:8" ht="12.75">
      <c r="C206" s="1163" t="s">
        <v>71</v>
      </c>
      <c r="D206" s="625"/>
      <c r="E206" s="1035"/>
      <c r="F206" s="1035"/>
      <c r="G206" s="1035"/>
      <c r="H206" s="625"/>
    </row>
    <row r="207" spans="3:8" ht="12.75">
      <c r="C207" s="1163" t="s">
        <v>72</v>
      </c>
      <c r="D207" s="625"/>
      <c r="E207" s="1035"/>
      <c r="F207" s="1035"/>
      <c r="G207" s="1035"/>
      <c r="H207" s="625"/>
    </row>
    <row r="208" spans="3:8" ht="12.75">
      <c r="C208" s="1163" t="s">
        <v>73</v>
      </c>
      <c r="D208" s="625"/>
      <c r="E208" s="1035"/>
      <c r="F208" s="1035"/>
      <c r="G208" s="1035"/>
      <c r="H208" s="625"/>
    </row>
    <row r="209" spans="3:8" ht="12.75">
      <c r="C209" s="1163" t="s">
        <v>74</v>
      </c>
      <c r="D209" s="625"/>
      <c r="E209" s="1035"/>
      <c r="F209" s="1035"/>
      <c r="G209" s="1035"/>
      <c r="H209" s="625"/>
    </row>
    <row r="210" spans="3:8" ht="12.75">
      <c r="C210" s="625"/>
      <c r="D210" s="625"/>
      <c r="E210" s="1035"/>
      <c r="F210" s="1035"/>
      <c r="G210" s="1035"/>
      <c r="H210" s="625"/>
    </row>
    <row r="211" spans="3:8" ht="12.75">
      <c r="C211" s="625"/>
      <c r="D211" s="625"/>
      <c r="E211" s="1035"/>
      <c r="F211" s="1035"/>
      <c r="G211" s="1035"/>
      <c r="H211" s="625"/>
    </row>
    <row r="212" spans="3:8" ht="12.75">
      <c r="C212" s="625"/>
      <c r="D212" s="625"/>
      <c r="E212" s="1035"/>
      <c r="F212" s="1035"/>
      <c r="G212" s="1035"/>
      <c r="H212" s="625"/>
    </row>
    <row r="213" spans="3:8" s="1073" customFormat="1" ht="20.25">
      <c r="C213" s="1164" t="s">
        <v>929</v>
      </c>
      <c r="D213" s="625"/>
      <c r="E213" s="1035"/>
      <c r="F213" s="1165"/>
      <c r="G213" s="1165"/>
      <c r="H213" s="1034"/>
    </row>
    <row r="214" spans="3:8" ht="12.75">
      <c r="C214" s="625"/>
      <c r="D214" s="625"/>
      <c r="E214" s="1035"/>
      <c r="H214" s="625"/>
    </row>
    <row r="215" spans="3:5" ht="12.75">
      <c r="C215" s="625"/>
      <c r="D215" s="625"/>
      <c r="E215" s="1035"/>
    </row>
    <row r="216" spans="3:5" ht="18.75" thickBot="1">
      <c r="C216" s="1131" t="s">
        <v>896</v>
      </c>
      <c r="D216" s="1132"/>
      <c r="E216" s="1133"/>
    </row>
    <row r="217" spans="3:5" ht="22.5" customHeight="1" thickTop="1">
      <c r="C217" s="625"/>
      <c r="D217" s="625" t="s">
        <v>930</v>
      </c>
      <c r="E217" s="1035">
        <f>+E168</f>
        <v>-353373.5199999998</v>
      </c>
    </row>
    <row r="218" spans="4:5" ht="22.5" customHeight="1">
      <c r="D218" s="617" t="s">
        <v>931</v>
      </c>
      <c r="E218" s="1027">
        <f>+'FC-3_CPyG'!G84</f>
        <v>-353373.5199999999</v>
      </c>
    </row>
    <row r="219" ht="22.5" customHeight="1">
      <c r="E219" s="1166" t="str">
        <f>IF(ROUND(E217-E218,2)=0,"OK","Mal, revísalo")</f>
        <v>OK</v>
      </c>
    </row>
    <row r="221" spans="4:5" ht="22.5" customHeight="1">
      <c r="D221" s="617" t="s">
        <v>932</v>
      </c>
      <c r="E221" s="1027">
        <f>+H168</f>
        <v>-2197.5499999998137</v>
      </c>
    </row>
    <row r="222" spans="4:5" ht="22.5" customHeight="1">
      <c r="D222" s="617" t="s">
        <v>933</v>
      </c>
      <c r="E222" s="1027">
        <f>+H170</f>
        <v>2197.549999999639</v>
      </c>
    </row>
    <row r="223" ht="22.5" customHeight="1">
      <c r="E223" s="1166" t="str">
        <f>IF(ROUND(E221+E222,2)=0,"OK","Revísalo")</f>
        <v>OK</v>
      </c>
    </row>
  </sheetData>
  <sheetProtection sheet="1" scenarios="1" selectLockedCells="1" selectUnlockedCells="1"/>
  <mergeCells count="22"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5"/>
  <sheetViews>
    <sheetView zoomScalePageLayoutView="0" workbookViewId="0" topLeftCell="A16">
      <selection activeCell="D42" sqref="D42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8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44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44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49" t="str">
        <f>Entidad</f>
        <v>INSTITUTO VOLCANOLOGICO DE CANARIAS SAU</v>
      </c>
      <c r="E9" s="1349"/>
      <c r="F9" s="1349"/>
      <c r="G9" s="1349"/>
      <c r="H9" s="1349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3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3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3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 t="s">
        <v>1126</v>
      </c>
      <c r="E23" s="546"/>
      <c r="F23" s="546"/>
      <c r="G23" s="546"/>
      <c r="H23" s="439">
        <v>43794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 t="s">
        <v>1127</v>
      </c>
      <c r="E24" s="547"/>
      <c r="F24" s="547"/>
      <c r="G24" s="547"/>
      <c r="H24" s="439">
        <v>43794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 t="s">
        <v>1114</v>
      </c>
      <c r="E25" s="547"/>
      <c r="F25" s="547"/>
      <c r="G25" s="547"/>
      <c r="H25" s="440" t="s">
        <v>1116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 t="s">
        <v>1115</v>
      </c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 t="s">
        <v>1128</v>
      </c>
      <c r="E27" s="547"/>
      <c r="F27" s="547"/>
      <c r="G27" s="547"/>
      <c r="H27" s="440" t="s">
        <v>1116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/>
      <c r="E28" s="547"/>
      <c r="F28" s="547"/>
      <c r="G28" s="547"/>
      <c r="H28" s="440"/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/>
      <c r="E29" s="547"/>
      <c r="F29" s="547"/>
      <c r="G29" s="547"/>
      <c r="H29" s="440"/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/>
      <c r="E30" s="547"/>
      <c r="F30" s="547"/>
      <c r="G30" s="547"/>
      <c r="H30" s="440"/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/>
      <c r="E31" s="547"/>
      <c r="F31" s="547"/>
      <c r="G31" s="547"/>
      <c r="H31" s="440"/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/>
      <c r="E32" s="547"/>
      <c r="F32" s="547"/>
      <c r="G32" s="547"/>
      <c r="H32" s="440"/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/>
      <c r="E33" s="547"/>
      <c r="F33" s="547"/>
      <c r="G33" s="547"/>
      <c r="H33" s="440"/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/>
      <c r="E34" s="547"/>
      <c r="F34" s="547"/>
      <c r="G34" s="547"/>
      <c r="H34" s="440"/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/>
      <c r="E40" s="548"/>
      <c r="F40" s="548"/>
      <c r="G40" s="548"/>
      <c r="H40" s="441"/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 t="s">
        <v>1129</v>
      </c>
      <c r="E41" s="547"/>
      <c r="F41" s="547"/>
      <c r="G41" s="547"/>
      <c r="H41" s="441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8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1C1FF"/>
    <pageSetUpPr fitToPage="1"/>
  </sheetPr>
  <dimension ref="A1:AF66"/>
  <sheetViews>
    <sheetView zoomScalePageLayoutView="0" workbookViewId="0" topLeftCell="A1">
      <selection activeCell="C48" sqref="C48:F48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16.21484375" style="722" customWidth="1"/>
    <col min="5" max="5" width="13.99609375" style="722" customWidth="1"/>
    <col min="6" max="7" width="16.21484375" style="722" customWidth="1"/>
    <col min="8" max="8" width="10.21484375" style="722" customWidth="1"/>
    <col min="9" max="9" width="12.99609375" style="722" customWidth="1"/>
    <col min="10" max="10" width="10.77734375" style="722" customWidth="1"/>
    <col min="11" max="11" width="1.99609375" style="722" customWidth="1"/>
    <col min="12" max="12" width="12.77734375" style="722" customWidth="1"/>
    <col min="13" max="15" width="10.77734375" style="722" customWidth="1"/>
    <col min="16" max="16" width="30.445312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P6" s="1350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30"/>
      <c r="N7" s="723"/>
      <c r="P7" s="1350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30"/>
      <c r="N8" s="723"/>
      <c r="O8" s="732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52" t="str">
        <f>Entidad</f>
        <v>INSTITUTO VOLCANOLOGICO DE CANARIAS SAU</v>
      </c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713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30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76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7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741" t="s">
        <v>937</v>
      </c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723"/>
      <c r="D15" s="723"/>
      <c r="E15" s="723"/>
      <c r="F15" s="1355" t="s">
        <v>720</v>
      </c>
      <c r="G15" s="1355"/>
      <c r="H15" s="1355"/>
      <c r="I15" s="742">
        <f>ejercicio-2</f>
        <v>2018</v>
      </c>
      <c r="J15" s="743"/>
      <c r="K15" s="723"/>
      <c r="L15" s="1355" t="s">
        <v>719</v>
      </c>
      <c r="M15" s="1355"/>
      <c r="N15" s="1355"/>
      <c r="O15" s="744">
        <f>ejercicio-1</f>
        <v>2019</v>
      </c>
      <c r="P15" s="745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3" customFormat="1" ht="51" customHeight="1">
      <c r="B16" s="746"/>
      <c r="C16" s="747" t="s">
        <v>20</v>
      </c>
      <c r="D16" s="747"/>
      <c r="E16" s="748" t="s">
        <v>21</v>
      </c>
      <c r="F16" s="748" t="s">
        <v>22</v>
      </c>
      <c r="G16" s="748" t="s">
        <v>717</v>
      </c>
      <c r="H16" s="749" t="s">
        <v>716</v>
      </c>
      <c r="I16" s="748" t="s">
        <v>940</v>
      </c>
      <c r="J16" s="748" t="s">
        <v>941</v>
      </c>
      <c r="K16" s="748"/>
      <c r="L16" s="750" t="s">
        <v>721</v>
      </c>
      <c r="M16" s="750" t="s">
        <v>24</v>
      </c>
      <c r="N16" s="750" t="s">
        <v>722</v>
      </c>
      <c r="O16" s="750" t="s">
        <v>26</v>
      </c>
      <c r="P16" s="751" t="s">
        <v>567</v>
      </c>
      <c r="Q16" s="752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7"/>
      <c r="C17" s="442" t="s">
        <v>1057</v>
      </c>
      <c r="D17" s="442"/>
      <c r="E17" s="764" t="s">
        <v>1058</v>
      </c>
      <c r="F17" s="443">
        <v>1</v>
      </c>
      <c r="G17" s="762" t="s">
        <v>1059</v>
      </c>
      <c r="H17" s="762" t="s">
        <v>1060</v>
      </c>
      <c r="I17" s="445">
        <v>100</v>
      </c>
      <c r="J17" s="445">
        <f>'FC-4_PASIVO'!E16/602</f>
        <v>3786.0884551495014</v>
      </c>
      <c r="K17" s="445"/>
      <c r="L17" s="445"/>
      <c r="M17" s="445"/>
      <c r="N17" s="445"/>
      <c r="O17" s="445"/>
      <c r="P17" s="445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7"/>
      <c r="C18" s="446"/>
      <c r="D18" s="446"/>
      <c r="E18" s="765"/>
      <c r="F18" s="447"/>
      <c r="G18" s="763"/>
      <c r="H18" s="763"/>
      <c r="I18" s="449"/>
      <c r="J18" s="449"/>
      <c r="K18" s="449"/>
      <c r="L18" s="449"/>
      <c r="M18" s="449"/>
      <c r="N18" s="449"/>
      <c r="O18" s="449"/>
      <c r="P18" s="449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7"/>
      <c r="C19" s="446"/>
      <c r="D19" s="446"/>
      <c r="E19" s="765"/>
      <c r="F19" s="447"/>
      <c r="G19" s="763"/>
      <c r="H19" s="763"/>
      <c r="I19" s="449"/>
      <c r="J19" s="449"/>
      <c r="K19" s="449"/>
      <c r="L19" s="449"/>
      <c r="M19" s="449"/>
      <c r="N19" s="449"/>
      <c r="O19" s="449"/>
      <c r="P19" s="449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7"/>
      <c r="C20" s="446"/>
      <c r="D20" s="446"/>
      <c r="E20" s="765"/>
      <c r="F20" s="447"/>
      <c r="G20" s="763"/>
      <c r="H20" s="763"/>
      <c r="I20" s="449"/>
      <c r="J20" s="449"/>
      <c r="K20" s="449"/>
      <c r="L20" s="449"/>
      <c r="M20" s="449"/>
      <c r="N20" s="449"/>
      <c r="O20" s="449"/>
      <c r="P20" s="449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7"/>
      <c r="C21" s="446"/>
      <c r="D21" s="446"/>
      <c r="E21" s="765"/>
      <c r="F21" s="447"/>
      <c r="G21" s="763"/>
      <c r="H21" s="763"/>
      <c r="I21" s="449"/>
      <c r="J21" s="449"/>
      <c r="K21" s="449"/>
      <c r="L21" s="449"/>
      <c r="M21" s="449"/>
      <c r="N21" s="449"/>
      <c r="O21" s="449"/>
      <c r="P21" s="449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7"/>
      <c r="C22" s="446"/>
      <c r="D22" s="446"/>
      <c r="E22" s="765"/>
      <c r="F22" s="447"/>
      <c r="G22" s="763"/>
      <c r="H22" s="763"/>
      <c r="I22" s="449"/>
      <c r="J22" s="449"/>
      <c r="K22" s="449"/>
      <c r="L22" s="449"/>
      <c r="M22" s="449"/>
      <c r="N22" s="449"/>
      <c r="O22" s="449"/>
      <c r="P22" s="449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7"/>
      <c r="C23" s="446"/>
      <c r="D23" s="446"/>
      <c r="E23" s="765"/>
      <c r="F23" s="447"/>
      <c r="G23" s="763"/>
      <c r="H23" s="763"/>
      <c r="I23" s="449"/>
      <c r="J23" s="449"/>
      <c r="K23" s="449"/>
      <c r="L23" s="449"/>
      <c r="M23" s="449"/>
      <c r="N23" s="449"/>
      <c r="O23" s="449"/>
      <c r="P23" s="449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7"/>
      <c r="C24" s="446"/>
      <c r="D24" s="446"/>
      <c r="E24" s="765"/>
      <c r="F24" s="447"/>
      <c r="G24" s="763"/>
      <c r="H24" s="763"/>
      <c r="I24" s="449"/>
      <c r="J24" s="449"/>
      <c r="K24" s="449"/>
      <c r="L24" s="449"/>
      <c r="M24" s="449"/>
      <c r="N24" s="449"/>
      <c r="O24" s="449"/>
      <c r="P24" s="449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7"/>
      <c r="C25" s="446"/>
      <c r="D25" s="446"/>
      <c r="E25" s="765"/>
      <c r="F25" s="447"/>
      <c r="G25" s="763"/>
      <c r="H25" s="763"/>
      <c r="I25" s="449"/>
      <c r="J25" s="449"/>
      <c r="K25" s="449"/>
      <c r="L25" s="449"/>
      <c r="M25" s="449"/>
      <c r="N25" s="449"/>
      <c r="O25" s="449"/>
      <c r="P25" s="449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7"/>
      <c r="C26" s="446"/>
      <c r="D26" s="446"/>
      <c r="E26" s="765"/>
      <c r="F26" s="447"/>
      <c r="G26" s="763"/>
      <c r="H26" s="763"/>
      <c r="I26" s="449"/>
      <c r="J26" s="449"/>
      <c r="K26" s="449"/>
      <c r="L26" s="449"/>
      <c r="M26" s="449"/>
      <c r="N26" s="449"/>
      <c r="O26" s="449"/>
      <c r="P26" s="449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7"/>
      <c r="C27" s="446"/>
      <c r="D27" s="446"/>
      <c r="E27" s="765"/>
      <c r="F27" s="447"/>
      <c r="G27" s="763"/>
      <c r="H27" s="763"/>
      <c r="I27" s="449"/>
      <c r="J27" s="449"/>
      <c r="K27" s="449"/>
      <c r="L27" s="449"/>
      <c r="M27" s="449"/>
      <c r="N27" s="449"/>
      <c r="O27" s="449"/>
      <c r="P27" s="449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7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7"/>
      <c r="C29" s="741" t="s">
        <v>27</v>
      </c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29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7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7"/>
      <c r="C31" s="723"/>
      <c r="D31" s="723"/>
      <c r="E31" s="723"/>
      <c r="F31" s="1355" t="s">
        <v>720</v>
      </c>
      <c r="G31" s="1355"/>
      <c r="H31" s="1355"/>
      <c r="I31" s="742">
        <f>ejercicio-2</f>
        <v>2018</v>
      </c>
      <c r="J31" s="743"/>
      <c r="K31" s="723"/>
      <c r="L31" s="1356" t="s">
        <v>719</v>
      </c>
      <c r="M31" s="1356"/>
      <c r="N31" s="1356"/>
      <c r="O31" s="754">
        <f>ejercicio-1</f>
        <v>2019</v>
      </c>
      <c r="Q31" s="729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7"/>
      <c r="C32" s="747" t="s">
        <v>20</v>
      </c>
      <c r="D32" s="747"/>
      <c r="E32" s="748" t="s">
        <v>21</v>
      </c>
      <c r="F32" s="748" t="s">
        <v>22</v>
      </c>
      <c r="G32" s="748" t="s">
        <v>717</v>
      </c>
      <c r="H32" s="749" t="s">
        <v>716</v>
      </c>
      <c r="I32" s="748" t="s">
        <v>940</v>
      </c>
      <c r="J32" s="748" t="s">
        <v>28</v>
      </c>
      <c r="K32" s="748"/>
      <c r="L32" s="748" t="s">
        <v>23</v>
      </c>
      <c r="M32" s="748" t="s">
        <v>24</v>
      </c>
      <c r="N32" s="748" t="s">
        <v>25</v>
      </c>
      <c r="O32" s="748" t="s">
        <v>26</v>
      </c>
      <c r="P32" s="751" t="s">
        <v>567</v>
      </c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7"/>
      <c r="C33" s="442"/>
      <c r="D33" s="442"/>
      <c r="E33" s="764"/>
      <c r="F33" s="549"/>
      <c r="G33" s="762"/>
      <c r="H33" s="444"/>
      <c r="I33" s="445"/>
      <c r="J33" s="445"/>
      <c r="K33" s="445"/>
      <c r="L33" s="445"/>
      <c r="M33" s="445"/>
      <c r="N33" s="445"/>
      <c r="O33" s="445"/>
      <c r="P33" s="445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7"/>
      <c r="C34" s="446"/>
      <c r="D34" s="446"/>
      <c r="E34" s="765"/>
      <c r="F34" s="550"/>
      <c r="G34" s="763"/>
      <c r="H34" s="448"/>
      <c r="I34" s="449"/>
      <c r="J34" s="449"/>
      <c r="K34" s="449"/>
      <c r="L34" s="449"/>
      <c r="M34" s="449"/>
      <c r="N34" s="449"/>
      <c r="O34" s="449"/>
      <c r="P34" s="44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7"/>
      <c r="C35" s="446"/>
      <c r="D35" s="446"/>
      <c r="E35" s="765"/>
      <c r="F35" s="550"/>
      <c r="G35" s="763"/>
      <c r="H35" s="448"/>
      <c r="I35" s="449"/>
      <c r="J35" s="449"/>
      <c r="K35" s="449"/>
      <c r="L35" s="449"/>
      <c r="M35" s="449"/>
      <c r="N35" s="449"/>
      <c r="O35" s="449"/>
      <c r="P35" s="449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7"/>
      <c r="C36" s="446"/>
      <c r="D36" s="446"/>
      <c r="E36" s="765"/>
      <c r="F36" s="550"/>
      <c r="G36" s="763"/>
      <c r="H36" s="448"/>
      <c r="I36" s="449"/>
      <c r="J36" s="449"/>
      <c r="K36" s="449"/>
      <c r="L36" s="449"/>
      <c r="M36" s="449"/>
      <c r="N36" s="449"/>
      <c r="O36" s="449"/>
      <c r="P36" s="449"/>
      <c r="Q36" s="729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7"/>
      <c r="C37" s="446"/>
      <c r="D37" s="446"/>
      <c r="E37" s="765"/>
      <c r="F37" s="550"/>
      <c r="G37" s="763"/>
      <c r="H37" s="448"/>
      <c r="I37" s="449"/>
      <c r="J37" s="449"/>
      <c r="K37" s="449"/>
      <c r="L37" s="449"/>
      <c r="M37" s="449"/>
      <c r="N37" s="449"/>
      <c r="O37" s="449"/>
      <c r="P37" s="449"/>
      <c r="Q37" s="729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7"/>
      <c r="C38" s="446"/>
      <c r="D38" s="446"/>
      <c r="E38" s="765"/>
      <c r="F38" s="550"/>
      <c r="G38" s="763"/>
      <c r="H38" s="448"/>
      <c r="I38" s="449"/>
      <c r="J38" s="449"/>
      <c r="K38" s="449"/>
      <c r="L38" s="449"/>
      <c r="M38" s="449"/>
      <c r="N38" s="449"/>
      <c r="O38" s="449"/>
      <c r="P38" s="449"/>
      <c r="Q38" s="729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7"/>
      <c r="C39" s="446"/>
      <c r="D39" s="446"/>
      <c r="E39" s="765"/>
      <c r="F39" s="550"/>
      <c r="G39" s="763"/>
      <c r="H39" s="448"/>
      <c r="I39" s="449"/>
      <c r="J39" s="449"/>
      <c r="K39" s="449"/>
      <c r="L39" s="449"/>
      <c r="M39" s="449"/>
      <c r="N39" s="449"/>
      <c r="O39" s="449"/>
      <c r="P39" s="449"/>
      <c r="Q39" s="729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7"/>
      <c r="C40" s="446"/>
      <c r="D40" s="446"/>
      <c r="E40" s="765"/>
      <c r="F40" s="550"/>
      <c r="G40" s="763"/>
      <c r="H40" s="448"/>
      <c r="I40" s="449"/>
      <c r="J40" s="449"/>
      <c r="K40" s="449"/>
      <c r="L40" s="449"/>
      <c r="M40" s="449"/>
      <c r="N40" s="449"/>
      <c r="O40" s="449"/>
      <c r="P40" s="449"/>
      <c r="Q40" s="729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7"/>
      <c r="C41" s="446"/>
      <c r="D41" s="446"/>
      <c r="E41" s="765"/>
      <c r="F41" s="550"/>
      <c r="G41" s="763"/>
      <c r="H41" s="448"/>
      <c r="I41" s="449"/>
      <c r="J41" s="449"/>
      <c r="K41" s="449"/>
      <c r="L41" s="449"/>
      <c r="M41" s="449"/>
      <c r="N41" s="449"/>
      <c r="O41" s="449"/>
      <c r="P41" s="449"/>
      <c r="Q41" s="729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7"/>
      <c r="C42" s="446"/>
      <c r="D42" s="446"/>
      <c r="E42" s="765"/>
      <c r="F42" s="550"/>
      <c r="G42" s="763"/>
      <c r="H42" s="448"/>
      <c r="I42" s="449"/>
      <c r="J42" s="449"/>
      <c r="K42" s="449"/>
      <c r="L42" s="449"/>
      <c r="M42" s="449"/>
      <c r="N42" s="449"/>
      <c r="O42" s="449"/>
      <c r="P42" s="449"/>
      <c r="Q42" s="729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7"/>
      <c r="C43" s="446"/>
      <c r="D43" s="446"/>
      <c r="E43" s="765"/>
      <c r="F43" s="550"/>
      <c r="G43" s="763"/>
      <c r="H43" s="448"/>
      <c r="I43" s="449"/>
      <c r="J43" s="449"/>
      <c r="K43" s="449"/>
      <c r="L43" s="449"/>
      <c r="M43" s="449"/>
      <c r="N43" s="449"/>
      <c r="O43" s="449"/>
      <c r="P43" s="449"/>
      <c r="Q43" s="729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7"/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9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7"/>
      <c r="C45" s="741" t="s">
        <v>29</v>
      </c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28"/>
      <c r="Q45" s="729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7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9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7"/>
      <c r="C47" s="1353" t="s">
        <v>30</v>
      </c>
      <c r="D47" s="1353"/>
      <c r="E47" s="747"/>
      <c r="F47" s="748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29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7"/>
      <c r="C48" s="1354" t="s">
        <v>1122</v>
      </c>
      <c r="D48" s="1354"/>
      <c r="E48" s="1354"/>
      <c r="F48" s="1354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9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7"/>
      <c r="C49" s="624"/>
      <c r="D49" s="624"/>
      <c r="E49" s="624"/>
      <c r="F49" s="624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9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7"/>
      <c r="C50" s="624"/>
      <c r="D50" s="624"/>
      <c r="E50" s="624"/>
      <c r="F50" s="624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9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7"/>
      <c r="C51" s="694" t="s">
        <v>405</v>
      </c>
      <c r="D51" s="624"/>
      <c r="E51" s="624"/>
      <c r="F51" s="624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9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7"/>
      <c r="C52" s="695"/>
      <c r="D52" s="624"/>
      <c r="E52" s="624"/>
      <c r="F52" s="624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9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7"/>
      <c r="C53" s="756" t="s">
        <v>938</v>
      </c>
      <c r="D53" s="624"/>
      <c r="E53" s="624"/>
      <c r="F53" s="624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9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7"/>
      <c r="C54" s="756" t="s">
        <v>939</v>
      </c>
      <c r="D54" s="624"/>
      <c r="E54" s="624"/>
      <c r="F54" s="624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9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7"/>
      <c r="C55" s="1351"/>
      <c r="D55" s="1351"/>
      <c r="E55" s="1351"/>
      <c r="F55" s="1351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9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R56" s="722" t="s">
        <v>936</v>
      </c>
    </row>
    <row r="57" spans="3:16" ht="12.75">
      <c r="C57" s="760" t="s">
        <v>70</v>
      </c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P57" s="701" t="s">
        <v>77</v>
      </c>
    </row>
    <row r="58" spans="3:16" ht="12.75">
      <c r="C58" s="761" t="s">
        <v>71</v>
      </c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</row>
    <row r="59" spans="3:16" ht="12.75">
      <c r="C59" s="761" t="s">
        <v>72</v>
      </c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</row>
    <row r="60" spans="3:16" ht="12.75">
      <c r="C60" s="761" t="s">
        <v>73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</row>
    <row r="61" spans="3:16" ht="12.75">
      <c r="C61" s="761" t="s">
        <v>74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22.5" customHeight="1"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22.5" customHeight="1"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22.5" customHeight="1"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</row>
    <row r="66" spans="6:16" ht="22.5" customHeight="1"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1C1FF"/>
    <pageSetUpPr fitToPage="1"/>
  </sheetPr>
  <dimension ref="A1:W97"/>
  <sheetViews>
    <sheetView zoomScalePageLayoutView="50" workbookViewId="0" topLeftCell="C70">
      <selection activeCell="G36" sqref="G36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8" t="str">
        <f>Entidad</f>
        <v>INSTITUTO VOLCANOLOGICO DE CANARIAS SAU</v>
      </c>
      <c r="E9" s="1358"/>
      <c r="F9" s="1358"/>
      <c r="G9" s="135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90142.21</v>
      </c>
      <c r="F16" s="131">
        <f>SUM(F17:F19)</f>
        <v>37600</v>
      </c>
      <c r="G16" s="131">
        <f>SUM(G17:G19)</f>
        <v>17000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/>
      <c r="F17" s="450"/>
      <c r="G17" s="450"/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>
        <v>90142.21</v>
      </c>
      <c r="F18" s="451">
        <v>37600</v>
      </c>
      <c r="G18" s="451">
        <v>17000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-21825</v>
      </c>
      <c r="F22" s="131">
        <f>SUM(F23:F26)</f>
        <v>-9500</v>
      </c>
      <c r="G22" s="131">
        <f>SUM(G23:G26)</f>
        <v>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/>
      <c r="F24" s="451"/>
      <c r="G24" s="451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>
        <v>-21825</v>
      </c>
      <c r="F25" s="451">
        <v>-9500</v>
      </c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760714.33</v>
      </c>
      <c r="F27" s="131">
        <f>SUM(F28:F29)</f>
        <v>1508521.75</v>
      </c>
      <c r="G27" s="131">
        <f>SUM(G28:G29)</f>
        <v>608947.67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38427.99</v>
      </c>
      <c r="F28" s="450">
        <v>32999.45</v>
      </c>
      <c r="G28" s="450">
        <v>9600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>
        <v>722286.34</v>
      </c>
      <c r="F29" s="451">
        <v>1475522.3</v>
      </c>
      <c r="G29" s="451">
        <v>599347.67</v>
      </c>
      <c r="H29" s="49"/>
      <c r="J29" s="409"/>
      <c r="K29" s="1343"/>
      <c r="L29" s="1343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-380403.5</v>
      </c>
      <c r="F30" s="131">
        <f>SUM(F31:F33)</f>
        <v>-630683.78</v>
      </c>
      <c r="G30" s="131">
        <f>SUM(G31:G33)</f>
        <v>-590295.87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-313930.7</v>
      </c>
      <c r="F31" s="450">
        <v>-503466.2</v>
      </c>
      <c r="G31" s="450">
        <v>-453174.75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-66472.8</v>
      </c>
      <c r="F32" s="451">
        <v>-127217.58</v>
      </c>
      <c r="G32" s="451">
        <v>-137121.12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/>
      <c r="F33" s="451"/>
      <c r="G33" s="451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-417813.45999999996</v>
      </c>
      <c r="F34" s="131">
        <f>SUM(F35:F39)</f>
        <v>-1069326.16</v>
      </c>
      <c r="G34" s="131">
        <f>SUM(G35:G39)</f>
        <v>-386842.22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-416857.91</v>
      </c>
      <c r="F35" s="450">
        <v>-1068170.69</v>
      </c>
      <c r="G35" s="450">
        <v>-385942.22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-955.55</v>
      </c>
      <c r="F36" s="451">
        <v>-1155.47</v>
      </c>
      <c r="G36" s="451">
        <v>-900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/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-122887.04</v>
      </c>
      <c r="F40" s="452">
        <v>-184136.99</v>
      </c>
      <c r="G40" s="452">
        <v>-328052.5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>
        <v>122534.23</v>
      </c>
      <c r="F41" s="452">
        <v>183121.9</v>
      </c>
      <c r="G41" s="452">
        <v>325869.4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/>
      <c r="F48" s="452"/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30461.76999999996</v>
      </c>
      <c r="F49" s="357">
        <f>F16+F20+F21+F22+F27+F30+F34+F40+F41+F42+F43+F47+F48</f>
        <v>-164403.27999999994</v>
      </c>
      <c r="G49" s="357">
        <f>G16+G20+G21+G22+G27+G30+G34+G40+G41+G42+G43+G47+G48</f>
        <v>-353373.5199999999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0</v>
      </c>
      <c r="F51" s="131">
        <f>F52+F55+F58</f>
        <v>0</v>
      </c>
      <c r="G51" s="131">
        <f>G52+G55+G58</f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1"/>
      <c r="F53" s="711"/>
      <c r="G53" s="711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1"/>
      <c r="F54" s="711"/>
      <c r="G54" s="711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0</v>
      </c>
      <c r="F55" s="358">
        <f>SUM(F56:F57)</f>
        <v>0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1"/>
      <c r="F56" s="711"/>
      <c r="G56" s="711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1"/>
      <c r="F57" s="711"/>
      <c r="G57" s="711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-84.01</v>
      </c>
      <c r="F59" s="131">
        <f>SUM(F60:F62)</f>
        <v>-0.4</v>
      </c>
      <c r="G59" s="131">
        <f>SUM(G60:G62)</f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>
        <v>-84.01</v>
      </c>
      <c r="F61" s="453">
        <v>-0.4</v>
      </c>
      <c r="G61" s="453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452">
        <v>-1168.27</v>
      </c>
      <c r="F66" s="452">
        <v>-508.01</v>
      </c>
      <c r="G66" s="452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-1252.28</v>
      </c>
      <c r="F74" s="357">
        <f>F51+F59+F63+F66+F67+F70</f>
        <v>-508.40999999999997</v>
      </c>
      <c r="G74" s="357">
        <f>G51+G59+G63+G66+G67+G70</f>
        <v>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29209.48999999996</v>
      </c>
      <c r="F76" s="360">
        <f>F74+F49</f>
        <v>-164911.68999999994</v>
      </c>
      <c r="G76" s="360">
        <f>G74+G49</f>
        <v>-353373.5199999999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>
        <v>22717.55</v>
      </c>
      <c r="F77" s="452"/>
      <c r="G77" s="452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51927.039999999964</v>
      </c>
      <c r="F79" s="360">
        <f>F76+F77</f>
        <v>-164911.68999999994</v>
      </c>
      <c r="G79" s="360">
        <f>G76+G77</f>
        <v>-353373.5199999999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51927.039999999964</v>
      </c>
      <c r="F84" s="135">
        <f>F79+F82</f>
        <v>-164911.68999999994</v>
      </c>
      <c r="G84" s="135">
        <f>G79+G82</f>
        <v>-353373.5199999999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57"/>
      <c r="D86" s="1357"/>
      <c r="E86" s="1357"/>
      <c r="F86" s="1357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11C1FF"/>
    <pageSetUpPr fitToPage="1"/>
  </sheetPr>
  <dimension ref="A2:AC107"/>
  <sheetViews>
    <sheetView zoomScale="93" zoomScaleNormal="93" zoomScalePageLayoutView="125" workbookViewId="0" topLeftCell="A1">
      <selection activeCell="G77" sqref="G77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42.4453125" style="615" customWidth="1"/>
    <col min="5" max="6" width="15.77734375" style="617" customWidth="1"/>
    <col min="7" max="7" width="30.99609375" style="617" customWidth="1"/>
    <col min="8" max="8" width="15.5546875" style="617" customWidth="1"/>
    <col min="9" max="9" width="16.77734375" style="617" customWidth="1"/>
    <col min="10" max="10" width="30.5546875" style="617" customWidth="1"/>
    <col min="11" max="12" width="15.77734375" style="617" customWidth="1"/>
    <col min="13" max="13" width="27.21484375" style="617" customWidth="1"/>
    <col min="14" max="14" width="3.21484375" style="615" customWidth="1"/>
    <col min="15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29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350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350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1" customFormat="1" ht="30" customHeight="1">
      <c r="B9" s="629"/>
      <c r="C9" s="630" t="s">
        <v>2</v>
      </c>
      <c r="D9" s="1352" t="str">
        <f>Entidad</f>
        <v>INSTITUTO VOLCANOLOGICO DE CANARIAS SAU</v>
      </c>
      <c r="E9" s="1352"/>
      <c r="F9" s="1352"/>
      <c r="G9" s="1352"/>
      <c r="H9" s="1352"/>
      <c r="I9" s="1352"/>
      <c r="J9" s="1352"/>
      <c r="K9" s="1352"/>
      <c r="L9" s="1352"/>
      <c r="M9" s="1352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5" customFormat="1" ht="30" customHeight="1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5" customFormat="1" ht="30" customHeight="1">
      <c r="B12" s="632"/>
      <c r="C12" s="1365"/>
      <c r="D12" s="1365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5" customFormat="1" ht="30" customHeight="1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5" customFormat="1" ht="22.5" customHeight="1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50" customFormat="1" ht="22.5" customHeight="1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7" customFormat="1" ht="22.5" customHeight="1">
      <c r="B16" s="651"/>
      <c r="C16" s="652" t="s">
        <v>632</v>
      </c>
      <c r="D16" s="653"/>
      <c r="E16" s="654">
        <f>SUM(E17:E18)</f>
        <v>0</v>
      </c>
      <c r="F16" s="654">
        <f>SUM(F17:F18)</f>
        <v>0</v>
      </c>
      <c r="G16" s="655"/>
      <c r="H16" s="654">
        <f>SUM(H17:H18)</f>
        <v>0</v>
      </c>
      <c r="I16" s="654">
        <f>SUM(I17:I18)</f>
        <v>0</v>
      </c>
      <c r="J16" s="655"/>
      <c r="K16" s="654">
        <f>SUM(K17:K18)</f>
        <v>0</v>
      </c>
      <c r="L16" s="654">
        <f>SUM(L17:L18)</f>
        <v>0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19.5" customHeight="1">
      <c r="B17" s="651"/>
      <c r="C17" s="793"/>
      <c r="D17" s="794" t="s">
        <v>633</v>
      </c>
      <c r="E17" s="481"/>
      <c r="F17" s="481"/>
      <c r="G17" s="795"/>
      <c r="H17" s="481"/>
      <c r="I17" s="481"/>
      <c r="J17" s="795"/>
      <c r="K17" s="951"/>
      <c r="L17" s="481"/>
      <c r="M17" s="796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19.5" customHeight="1">
      <c r="B18" s="651"/>
      <c r="C18" s="797"/>
      <c r="D18" s="798" t="s">
        <v>634</v>
      </c>
      <c r="E18" s="489"/>
      <c r="F18" s="489"/>
      <c r="G18" s="799"/>
      <c r="H18" s="489"/>
      <c r="I18" s="489"/>
      <c r="J18" s="799"/>
      <c r="K18" s="489"/>
      <c r="L18" s="489"/>
      <c r="M18" s="800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2.5" customHeight="1">
      <c r="B19" s="651"/>
      <c r="C19" s="652" t="s">
        <v>635</v>
      </c>
      <c r="D19" s="653"/>
      <c r="E19" s="654">
        <f>+E20+E25</f>
        <v>0</v>
      </c>
      <c r="F19" s="654">
        <f>+F20+F25</f>
        <v>0</v>
      </c>
      <c r="G19" s="655"/>
      <c r="H19" s="654">
        <f>+H20+H25</f>
        <v>0</v>
      </c>
      <c r="I19" s="654">
        <f>+I20+I25</f>
        <v>0</v>
      </c>
      <c r="J19" s="655"/>
      <c r="K19" s="654">
        <f>+K20+K25</f>
        <v>7000</v>
      </c>
      <c r="L19" s="654">
        <f>+L20+L25</f>
        <v>455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19.5" customHeight="1">
      <c r="B20" s="651"/>
      <c r="C20" s="793"/>
      <c r="D20" s="794" t="s">
        <v>763</v>
      </c>
      <c r="E20" s="801">
        <f>SUM(E21:E24)</f>
        <v>0</v>
      </c>
      <c r="F20" s="801">
        <f>SUM(F21:F24)</f>
        <v>0</v>
      </c>
      <c r="G20" s="802"/>
      <c r="H20" s="801">
        <f>SUM(H21:H24)</f>
        <v>0</v>
      </c>
      <c r="I20" s="801">
        <f>SUM(I21:I24)</f>
        <v>0</v>
      </c>
      <c r="J20" s="802"/>
      <c r="K20" s="801">
        <f>SUM(K21:K24)</f>
        <v>0</v>
      </c>
      <c r="L20" s="801">
        <f>SUM(L21:L24)</f>
        <v>0</v>
      </c>
      <c r="M20" s="803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19.5" customHeight="1">
      <c r="B21" s="629"/>
      <c r="C21" s="562"/>
      <c r="D21" s="563"/>
      <c r="E21" s="514"/>
      <c r="F21" s="514"/>
      <c r="G21" s="553"/>
      <c r="H21" s="514"/>
      <c r="I21" s="514"/>
      <c r="J21" s="553"/>
      <c r="K21" s="514"/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19.5" customHeight="1">
      <c r="B22" s="629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19.5" customHeight="1">
      <c r="B23" s="629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19.5" customHeight="1">
      <c r="B24" s="629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7" customFormat="1" ht="19.5" customHeight="1">
      <c r="B25" s="651"/>
      <c r="C25" s="804"/>
      <c r="D25" s="805" t="s">
        <v>764</v>
      </c>
      <c r="E25" s="806">
        <f>SUM(E26:E29)</f>
        <v>0</v>
      </c>
      <c r="F25" s="806">
        <f>SUM(F26:F29)</f>
        <v>0</v>
      </c>
      <c r="G25" s="807"/>
      <c r="H25" s="806">
        <f>SUM(H26:H29)</f>
        <v>0</v>
      </c>
      <c r="I25" s="806">
        <f>SUM(I26:I29)</f>
        <v>0</v>
      </c>
      <c r="J25" s="807"/>
      <c r="K25" s="806">
        <f>SUM(K26:K29)</f>
        <v>7000</v>
      </c>
      <c r="L25" s="806">
        <f>SUM(L26:L29)</f>
        <v>455</v>
      </c>
      <c r="M25" s="808"/>
      <c r="N25" s="692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60" customFormat="1" ht="19.5" customHeight="1">
      <c r="B26" s="629"/>
      <c r="C26" s="1226" t="s">
        <v>1061</v>
      </c>
      <c r="D26" s="563"/>
      <c r="E26" s="514"/>
      <c r="F26" s="514"/>
      <c r="G26" s="553"/>
      <c r="H26" s="514"/>
      <c r="I26" s="514"/>
      <c r="J26" s="553"/>
      <c r="K26" s="514">
        <v>7000</v>
      </c>
      <c r="L26" s="514">
        <v>455</v>
      </c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19.5" customHeight="1">
      <c r="B27" s="629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60" customFormat="1" ht="19.5" customHeight="1">
      <c r="B28" s="629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7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60" customFormat="1" ht="19.5" customHeight="1">
      <c r="B29" s="629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7" customFormat="1" ht="22.5" customHeight="1">
      <c r="B30" s="651"/>
      <c r="C30" s="652" t="s">
        <v>636</v>
      </c>
      <c r="D30" s="653"/>
      <c r="E30" s="654">
        <f>+E31+E40</f>
        <v>90142.21</v>
      </c>
      <c r="F30" s="654">
        <f>+F31+F40</f>
        <v>4792.91</v>
      </c>
      <c r="G30" s="655"/>
      <c r="H30" s="654">
        <f>+H31+H40</f>
        <v>37600</v>
      </c>
      <c r="I30" s="654">
        <f>+I31+I40</f>
        <v>2219.75</v>
      </c>
      <c r="J30" s="655"/>
      <c r="K30" s="654">
        <f>+K31+K40</f>
        <v>10000</v>
      </c>
      <c r="L30" s="654">
        <f>+L31+L40</f>
        <v>650</v>
      </c>
      <c r="M30" s="656"/>
      <c r="N30" s="627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1" customFormat="1" ht="18.75" customHeight="1">
      <c r="B31" s="664"/>
      <c r="C31" s="665" t="s">
        <v>637</v>
      </c>
      <c r="D31" s="666"/>
      <c r="E31" s="667">
        <f>E32+E36</f>
        <v>76096.32</v>
      </c>
      <c r="F31" s="667">
        <f>F32+F36</f>
        <v>4066.74</v>
      </c>
      <c r="G31" s="668"/>
      <c r="H31" s="667">
        <f>H32+H36</f>
        <v>0</v>
      </c>
      <c r="I31" s="667">
        <f>I32+I36</f>
        <v>0</v>
      </c>
      <c r="J31" s="668"/>
      <c r="K31" s="667">
        <f>K32+K36</f>
        <v>0</v>
      </c>
      <c r="L31" s="667">
        <f>L32+L36</f>
        <v>0</v>
      </c>
      <c r="M31" s="669"/>
      <c r="N31" s="670"/>
      <c r="P31" s="609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1"/>
    </row>
    <row r="32" spans="2:29" s="657" customFormat="1" ht="18.75" customHeight="1">
      <c r="B32" s="651"/>
      <c r="C32" s="793"/>
      <c r="D32" s="794" t="s">
        <v>765</v>
      </c>
      <c r="E32" s="801">
        <f>SUM(E33:E35)</f>
        <v>0</v>
      </c>
      <c r="F32" s="801">
        <f>SUM(F33:F35)</f>
        <v>0</v>
      </c>
      <c r="G32" s="802"/>
      <c r="H32" s="801">
        <f>SUM(H33:H35)</f>
        <v>0</v>
      </c>
      <c r="I32" s="801">
        <f>SUM(I33:I35)</f>
        <v>0</v>
      </c>
      <c r="J32" s="802"/>
      <c r="K32" s="801">
        <f>SUM(K33:K35)</f>
        <v>0</v>
      </c>
      <c r="L32" s="801">
        <f>SUM(L33:L35)</f>
        <v>0</v>
      </c>
      <c r="M32" s="803"/>
      <c r="N32" s="692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60" customFormat="1" ht="18.75" customHeight="1">
      <c r="B33" s="629"/>
      <c r="C33" s="560"/>
      <c r="D33" s="561"/>
      <c r="E33" s="511"/>
      <c r="F33" s="511"/>
      <c r="G33" s="551"/>
      <c r="H33" s="511"/>
      <c r="I33" s="511"/>
      <c r="J33" s="551"/>
      <c r="K33" s="511"/>
      <c r="L33" s="511"/>
      <c r="M33" s="552"/>
      <c r="N33" s="627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60" customFormat="1" ht="18.75" customHeight="1">
      <c r="B34" s="629"/>
      <c r="C34" s="560"/>
      <c r="D34" s="561"/>
      <c r="E34" s="511"/>
      <c r="F34" s="511"/>
      <c r="G34" s="551"/>
      <c r="H34" s="511"/>
      <c r="I34" s="511"/>
      <c r="J34" s="551"/>
      <c r="K34" s="511"/>
      <c r="L34" s="511"/>
      <c r="M34" s="552"/>
      <c r="N34" s="627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60" customFormat="1" ht="18.75" customHeight="1">
      <c r="B35" s="629"/>
      <c r="C35" s="560"/>
      <c r="D35" s="561"/>
      <c r="E35" s="511"/>
      <c r="F35" s="511"/>
      <c r="G35" s="551"/>
      <c r="H35" s="511"/>
      <c r="I35" s="511"/>
      <c r="J35" s="551"/>
      <c r="K35" s="511"/>
      <c r="L35" s="511"/>
      <c r="M35" s="552"/>
      <c r="N35" s="627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7" customFormat="1" ht="18.75" customHeight="1">
      <c r="B36" s="651"/>
      <c r="C36" s="793"/>
      <c r="D36" s="794" t="s">
        <v>766</v>
      </c>
      <c r="E36" s="801">
        <f>SUM(E37:E39)</f>
        <v>76096.32</v>
      </c>
      <c r="F36" s="801">
        <f>SUM(F37:F39)</f>
        <v>4066.74</v>
      </c>
      <c r="G36" s="802"/>
      <c r="H36" s="801">
        <f>SUM(H37:H39)</f>
        <v>0</v>
      </c>
      <c r="I36" s="801">
        <f>SUM(I37:I39)</f>
        <v>0</v>
      </c>
      <c r="J36" s="802"/>
      <c r="K36" s="801">
        <f>SUM(K37:K39)</f>
        <v>0</v>
      </c>
      <c r="L36" s="801">
        <f>SUM(L37:L39)</f>
        <v>0</v>
      </c>
      <c r="M36" s="803"/>
      <c r="N36" s="692"/>
      <c r="P36" s="809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1"/>
    </row>
    <row r="37" spans="2:29" s="660" customFormat="1" ht="18.75" customHeight="1">
      <c r="B37" s="629"/>
      <c r="C37" s="981" t="s">
        <v>1062</v>
      </c>
      <c r="D37" s="561"/>
      <c r="E37" s="511">
        <v>76096.32</v>
      </c>
      <c r="F37" s="511">
        <v>4066.74</v>
      </c>
      <c r="G37" s="551"/>
      <c r="H37" s="511"/>
      <c r="I37" s="511"/>
      <c r="J37" s="551"/>
      <c r="K37" s="511"/>
      <c r="L37" s="511"/>
      <c r="M37" s="552"/>
      <c r="N37" s="627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60" customFormat="1" ht="18.75" customHeight="1">
      <c r="B38" s="629"/>
      <c r="C38" s="560"/>
      <c r="D38" s="561"/>
      <c r="E38" s="511"/>
      <c r="F38" s="511"/>
      <c r="G38" s="551"/>
      <c r="H38" s="511"/>
      <c r="I38" s="511"/>
      <c r="J38" s="551"/>
      <c r="K38" s="511"/>
      <c r="L38" s="511"/>
      <c r="M38" s="552"/>
      <c r="N38" s="627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60" customFormat="1" ht="18.75" customHeight="1">
      <c r="B39" s="629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7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1" customFormat="1" ht="18.75" customHeight="1">
      <c r="B40" s="664"/>
      <c r="C40" s="665" t="s">
        <v>638</v>
      </c>
      <c r="D40" s="666"/>
      <c r="E40" s="667">
        <f>+E41+E42</f>
        <v>14045.89</v>
      </c>
      <c r="F40" s="667">
        <f>+F41+F42</f>
        <v>726.17</v>
      </c>
      <c r="G40" s="668"/>
      <c r="H40" s="667">
        <f>+H41+H42</f>
        <v>37600</v>
      </c>
      <c r="I40" s="667">
        <f>+I41+I42</f>
        <v>2219.75</v>
      </c>
      <c r="J40" s="668"/>
      <c r="K40" s="667">
        <f>+K41+K42</f>
        <v>10000</v>
      </c>
      <c r="L40" s="667">
        <f>+L41+L42</f>
        <v>650</v>
      </c>
      <c r="M40" s="669"/>
      <c r="N40" s="670"/>
      <c r="P40" s="612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4"/>
    </row>
    <row r="41" spans="2:29" s="657" customFormat="1" ht="18.75" customHeight="1">
      <c r="B41" s="651"/>
      <c r="C41" s="793"/>
      <c r="D41" s="794" t="s">
        <v>639</v>
      </c>
      <c r="E41" s="481"/>
      <c r="F41" s="481"/>
      <c r="G41" s="795"/>
      <c r="H41" s="481"/>
      <c r="I41" s="481"/>
      <c r="J41" s="795"/>
      <c r="K41" s="481"/>
      <c r="L41" s="481"/>
      <c r="M41" s="796"/>
      <c r="N41" s="692"/>
      <c r="P41" s="809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1"/>
    </row>
    <row r="42" spans="2:29" s="657" customFormat="1" ht="18.75" customHeight="1">
      <c r="B42" s="651"/>
      <c r="C42" s="812"/>
      <c r="D42" s="813" t="s">
        <v>640</v>
      </c>
      <c r="E42" s="814">
        <v>14045.89</v>
      </c>
      <c r="F42" s="814">
        <v>726.17</v>
      </c>
      <c r="G42" s="815"/>
      <c r="H42" s="814">
        <v>37600</v>
      </c>
      <c r="I42" s="814">
        <v>2219.75</v>
      </c>
      <c r="J42" s="815"/>
      <c r="K42" s="814">
        <v>10000</v>
      </c>
      <c r="L42" s="814">
        <v>650</v>
      </c>
      <c r="M42" s="816"/>
      <c r="N42" s="692"/>
      <c r="P42" s="809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0"/>
      <c r="AC42" s="811"/>
    </row>
    <row r="43" spans="2:29" s="657" customFormat="1" ht="22.5" customHeight="1" thickBot="1">
      <c r="B43" s="651"/>
      <c r="C43" s="672" t="s">
        <v>641</v>
      </c>
      <c r="D43" s="673"/>
      <c r="E43" s="674">
        <f>E16+E19+E30</f>
        <v>90142.21</v>
      </c>
      <c r="F43" s="674">
        <f>F16+F19+F30</f>
        <v>4792.91</v>
      </c>
      <c r="G43" s="675"/>
      <c r="H43" s="674">
        <f>H16+H19+H30</f>
        <v>37600</v>
      </c>
      <c r="I43" s="674">
        <f>I16+I19+I30</f>
        <v>2219.75</v>
      </c>
      <c r="J43" s="675"/>
      <c r="K43" s="674">
        <f>K16+K19+K30</f>
        <v>17000</v>
      </c>
      <c r="L43" s="674">
        <f>L16+L19+L30</f>
        <v>1105</v>
      </c>
      <c r="M43" s="676"/>
      <c r="N43" s="627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60" customFormat="1" ht="22.5" customHeight="1">
      <c r="B44" s="629"/>
      <c r="C44" s="677"/>
      <c r="D44" s="677"/>
      <c r="E44" s="678"/>
      <c r="F44" s="678"/>
      <c r="G44" s="678"/>
      <c r="H44" s="678"/>
      <c r="I44" s="678"/>
      <c r="J44" s="678"/>
      <c r="K44" s="678"/>
      <c r="L44" s="678"/>
      <c r="M44" s="678"/>
      <c r="N44" s="627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5" customFormat="1" ht="22.5" customHeight="1">
      <c r="B45" s="638"/>
      <c r="C45" s="639"/>
      <c r="D45" s="640"/>
      <c r="E45" s="679" t="s">
        <v>176</v>
      </c>
      <c r="F45" s="679" t="s">
        <v>177</v>
      </c>
      <c r="G45" s="679" t="s">
        <v>178</v>
      </c>
      <c r="H45" s="1359" t="s">
        <v>567</v>
      </c>
      <c r="I45" s="1360"/>
      <c r="J45" s="1360"/>
      <c r="K45" s="1360"/>
      <c r="L45" s="1360"/>
      <c r="M45" s="1361"/>
      <c r="N45" s="627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50" customFormat="1" ht="22.5" customHeight="1">
      <c r="B46" s="646"/>
      <c r="C46" s="647" t="s">
        <v>642</v>
      </c>
      <c r="D46" s="648"/>
      <c r="E46" s="680">
        <f>ejercicio-2</f>
        <v>2018</v>
      </c>
      <c r="F46" s="680">
        <f>ejercicio-1</f>
        <v>2019</v>
      </c>
      <c r="G46" s="680">
        <f>ejercicio</f>
        <v>2020</v>
      </c>
      <c r="H46" s="1362"/>
      <c r="I46" s="1363"/>
      <c r="J46" s="1363"/>
      <c r="K46" s="1363"/>
      <c r="L46" s="1363"/>
      <c r="M46" s="1364"/>
      <c r="N46" s="627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60" customFormat="1" ht="22.5" customHeight="1" thickBot="1">
      <c r="B47" s="629"/>
      <c r="C47" s="672" t="s">
        <v>809</v>
      </c>
      <c r="D47" s="673"/>
      <c r="E47" s="674">
        <f>E48+E52</f>
        <v>0</v>
      </c>
      <c r="F47" s="674">
        <f>F48+F52</f>
        <v>0</v>
      </c>
      <c r="G47" s="674">
        <f>G48+G52</f>
        <v>0</v>
      </c>
      <c r="H47" s="681"/>
      <c r="I47" s="682"/>
      <c r="J47" s="682"/>
      <c r="K47" s="682"/>
      <c r="L47" s="682"/>
      <c r="M47" s="683"/>
      <c r="N47" s="627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60" customFormat="1" ht="19.5" customHeight="1">
      <c r="B48" s="629"/>
      <c r="C48" s="1267" t="s">
        <v>1004</v>
      </c>
      <c r="D48" s="1268"/>
      <c r="E48" s="1269">
        <f>SUM(E49:E51)</f>
        <v>0</v>
      </c>
      <c r="F48" s="1269">
        <f>SUM(F49:F51)</f>
        <v>0</v>
      </c>
      <c r="G48" s="1269">
        <f>SUM(G49:G51)</f>
        <v>0</v>
      </c>
      <c r="H48" s="1270"/>
      <c r="I48" s="1271"/>
      <c r="J48" s="1271"/>
      <c r="K48" s="1271"/>
      <c r="L48" s="1271"/>
      <c r="M48" s="1272"/>
      <c r="N48" s="627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60" customFormat="1" ht="19.5" customHeight="1">
      <c r="B49" s="629"/>
      <c r="C49" s="562"/>
      <c r="D49" s="563"/>
      <c r="E49" s="583"/>
      <c r="F49" s="583"/>
      <c r="G49" s="583"/>
      <c r="H49" s="540"/>
      <c r="I49" s="703"/>
      <c r="J49" s="703"/>
      <c r="K49" s="703"/>
      <c r="L49" s="703"/>
      <c r="M49" s="537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60" customFormat="1" ht="19.5" customHeight="1">
      <c r="B50" s="629"/>
      <c r="C50" s="562"/>
      <c r="D50" s="563"/>
      <c r="E50" s="583"/>
      <c r="F50" s="583"/>
      <c r="G50" s="583"/>
      <c r="H50" s="1244"/>
      <c r="I50" s="703"/>
      <c r="J50" s="703"/>
      <c r="K50" s="703"/>
      <c r="L50" s="703"/>
      <c r="M50" s="1245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60" customFormat="1" ht="19.5" customHeight="1">
      <c r="B51" s="629"/>
      <c r="C51" s="562"/>
      <c r="D51" s="563"/>
      <c r="E51" s="583"/>
      <c r="F51" s="583"/>
      <c r="G51" s="583"/>
      <c r="H51" s="540"/>
      <c r="I51" s="703"/>
      <c r="J51" s="703"/>
      <c r="K51" s="703"/>
      <c r="L51" s="703"/>
      <c r="M51" s="537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60" customFormat="1" ht="19.5" customHeight="1">
      <c r="B52" s="629"/>
      <c r="C52" s="804" t="s">
        <v>1005</v>
      </c>
      <c r="D52" s="663"/>
      <c r="E52" s="1273">
        <f>SUM(E53:E55)</f>
        <v>0</v>
      </c>
      <c r="F52" s="1273">
        <f>SUM(F53:F55)</f>
        <v>0</v>
      </c>
      <c r="G52" s="1273">
        <f>SUM(G53:G55)</f>
        <v>0</v>
      </c>
      <c r="H52" s="1274"/>
      <c r="I52" s="1275"/>
      <c r="J52" s="1275"/>
      <c r="K52" s="1275"/>
      <c r="L52" s="1275"/>
      <c r="M52" s="1276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19.5" customHeight="1">
      <c r="B53" s="629"/>
      <c r="C53" s="562"/>
      <c r="D53" s="563"/>
      <c r="E53" s="583"/>
      <c r="F53" s="583"/>
      <c r="G53" s="583"/>
      <c r="H53" s="540"/>
      <c r="I53" s="703"/>
      <c r="J53" s="703"/>
      <c r="K53" s="703"/>
      <c r="L53" s="703"/>
      <c r="M53" s="537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19.5" customHeight="1">
      <c r="B54" s="629"/>
      <c r="C54" s="562"/>
      <c r="D54" s="563"/>
      <c r="E54" s="583"/>
      <c r="F54" s="583"/>
      <c r="G54" s="583"/>
      <c r="H54" s="540"/>
      <c r="I54" s="703"/>
      <c r="J54" s="703"/>
      <c r="K54" s="703"/>
      <c r="L54" s="703"/>
      <c r="M54" s="53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19.5" customHeight="1">
      <c r="B55" s="629"/>
      <c r="C55" s="564"/>
      <c r="D55" s="565"/>
      <c r="E55" s="584"/>
      <c r="F55" s="584"/>
      <c r="G55" s="584"/>
      <c r="H55" s="538"/>
      <c r="I55" s="531"/>
      <c r="J55" s="531"/>
      <c r="K55" s="531"/>
      <c r="L55" s="531"/>
      <c r="M55" s="539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22.5" customHeight="1" thickBot="1">
      <c r="B56" s="629"/>
      <c r="C56" s="672" t="s">
        <v>810</v>
      </c>
      <c r="D56" s="673"/>
      <c r="E56" s="674">
        <f>E57+E61</f>
        <v>0</v>
      </c>
      <c r="F56" s="674">
        <f>F57+F61</f>
        <v>0</v>
      </c>
      <c r="G56" s="674">
        <f>G57+G61</f>
        <v>0</v>
      </c>
      <c r="H56" s="681"/>
      <c r="I56" s="682"/>
      <c r="J56" s="682"/>
      <c r="K56" s="682"/>
      <c r="L56" s="682"/>
      <c r="M56" s="683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19.5" customHeight="1">
      <c r="B57" s="629"/>
      <c r="C57" s="1267" t="s">
        <v>1006</v>
      </c>
      <c r="D57" s="1268"/>
      <c r="E57" s="1269">
        <f>SUM(E58:E60)</f>
        <v>0</v>
      </c>
      <c r="F57" s="1269">
        <f>SUM(F58:F60)</f>
        <v>0</v>
      </c>
      <c r="G57" s="1269">
        <f>SUM(G58:G60)</f>
        <v>0</v>
      </c>
      <c r="H57" s="1270"/>
      <c r="I57" s="1271"/>
      <c r="J57" s="1271"/>
      <c r="K57" s="1271"/>
      <c r="L57" s="1271"/>
      <c r="M57" s="1272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19.5" customHeight="1">
      <c r="B58" s="629"/>
      <c r="C58" s="562"/>
      <c r="D58" s="563"/>
      <c r="E58" s="583"/>
      <c r="F58" s="583"/>
      <c r="G58" s="583"/>
      <c r="H58" s="540"/>
      <c r="I58" s="703"/>
      <c r="J58" s="703"/>
      <c r="K58" s="703"/>
      <c r="L58" s="703"/>
      <c r="M58" s="537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19.5" customHeight="1">
      <c r="B59" s="629"/>
      <c r="C59" s="562"/>
      <c r="D59" s="563"/>
      <c r="E59" s="583"/>
      <c r="F59" s="583"/>
      <c r="G59" s="583"/>
      <c r="H59" s="1244"/>
      <c r="I59" s="703"/>
      <c r="J59" s="703"/>
      <c r="K59" s="703"/>
      <c r="L59" s="703"/>
      <c r="M59" s="1245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19.5" customHeight="1">
      <c r="B60" s="629"/>
      <c r="C60" s="562"/>
      <c r="D60" s="563"/>
      <c r="E60" s="583"/>
      <c r="F60" s="583"/>
      <c r="G60" s="583"/>
      <c r="H60" s="540"/>
      <c r="I60" s="703"/>
      <c r="J60" s="703"/>
      <c r="K60" s="703"/>
      <c r="L60" s="703"/>
      <c r="M60" s="537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19.5" customHeight="1">
      <c r="B61" s="629"/>
      <c r="C61" s="804" t="s">
        <v>1007</v>
      </c>
      <c r="D61" s="663"/>
      <c r="E61" s="1273">
        <f>SUM(E62:E64)</f>
        <v>0</v>
      </c>
      <c r="F61" s="1273">
        <f>SUM(F62:F64)</f>
        <v>0</v>
      </c>
      <c r="G61" s="1273">
        <f>SUM(G62:G64)</f>
        <v>0</v>
      </c>
      <c r="H61" s="1274"/>
      <c r="I61" s="1275"/>
      <c r="J61" s="1275"/>
      <c r="K61" s="1275"/>
      <c r="L61" s="1275"/>
      <c r="M61" s="1276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19.5" customHeight="1">
      <c r="B62" s="629"/>
      <c r="C62" s="562"/>
      <c r="D62" s="563"/>
      <c r="E62" s="583"/>
      <c r="F62" s="583"/>
      <c r="G62" s="583"/>
      <c r="H62" s="540"/>
      <c r="I62" s="703"/>
      <c r="J62" s="703"/>
      <c r="K62" s="703"/>
      <c r="L62" s="703"/>
      <c r="M62" s="537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19.5" customHeight="1">
      <c r="B63" s="629"/>
      <c r="C63" s="562"/>
      <c r="D63" s="563"/>
      <c r="E63" s="583"/>
      <c r="F63" s="583"/>
      <c r="G63" s="583"/>
      <c r="H63" s="540"/>
      <c r="I63" s="703"/>
      <c r="J63" s="703"/>
      <c r="K63" s="703"/>
      <c r="L63" s="703"/>
      <c r="M63" s="537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19.5" customHeight="1">
      <c r="B64" s="629"/>
      <c r="C64" s="564"/>
      <c r="D64" s="565"/>
      <c r="E64" s="584"/>
      <c r="F64" s="584"/>
      <c r="G64" s="584"/>
      <c r="H64" s="538"/>
      <c r="I64" s="531"/>
      <c r="J64" s="531"/>
      <c r="K64" s="531"/>
      <c r="L64" s="531"/>
      <c r="M64" s="539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22.5" customHeight="1">
      <c r="B65" s="629"/>
      <c r="C65" s="677"/>
      <c r="D65" s="677"/>
      <c r="E65" s="678"/>
      <c r="F65" s="678"/>
      <c r="G65" s="678"/>
      <c r="H65" s="678"/>
      <c r="I65" s="678"/>
      <c r="J65" s="678"/>
      <c r="K65" s="678"/>
      <c r="L65" s="678"/>
      <c r="M65" s="678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22.5" customHeight="1">
      <c r="B66" s="629"/>
      <c r="C66" s="639"/>
      <c r="D66" s="640"/>
      <c r="E66" s="679" t="s">
        <v>176</v>
      </c>
      <c r="F66" s="679" t="s">
        <v>177</v>
      </c>
      <c r="G66" s="679" t="s">
        <v>178</v>
      </c>
      <c r="H66" s="1359" t="s">
        <v>567</v>
      </c>
      <c r="I66" s="1360"/>
      <c r="J66" s="1360"/>
      <c r="K66" s="1360"/>
      <c r="L66" s="1360"/>
      <c r="M66" s="1361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22.5" customHeight="1">
      <c r="B67" s="629"/>
      <c r="C67" s="647" t="s">
        <v>643</v>
      </c>
      <c r="D67" s="648"/>
      <c r="E67" s="680">
        <f>ejercicio-2</f>
        <v>2018</v>
      </c>
      <c r="F67" s="680">
        <f>ejercicio-1</f>
        <v>2019</v>
      </c>
      <c r="G67" s="680">
        <f>ejercicio</f>
        <v>2020</v>
      </c>
      <c r="H67" s="1362"/>
      <c r="I67" s="1363"/>
      <c r="J67" s="1363"/>
      <c r="K67" s="1363"/>
      <c r="L67" s="1363"/>
      <c r="M67" s="1364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22.5" customHeight="1">
      <c r="B68" s="629"/>
      <c r="C68" s="658" t="s">
        <v>644</v>
      </c>
      <c r="D68" s="659"/>
      <c r="E68" s="511"/>
      <c r="F68" s="511"/>
      <c r="G68" s="817"/>
      <c r="H68" s="704"/>
      <c r="I68" s="705"/>
      <c r="J68" s="705"/>
      <c r="K68" s="705"/>
      <c r="L68" s="705"/>
      <c r="M68" s="512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22.5" customHeight="1">
      <c r="B69" s="629"/>
      <c r="C69" s="661" t="s">
        <v>645</v>
      </c>
      <c r="D69" s="662"/>
      <c r="E69" s="516"/>
      <c r="F69" s="516"/>
      <c r="G69" s="584"/>
      <c r="H69" s="538"/>
      <c r="I69" s="531"/>
      <c r="J69" s="531"/>
      <c r="K69" s="531"/>
      <c r="L69" s="531"/>
      <c r="M69" s="539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22.5" customHeight="1">
      <c r="B70" s="629"/>
      <c r="C70" s="677"/>
      <c r="D70" s="677"/>
      <c r="E70" s="678"/>
      <c r="F70" s="678"/>
      <c r="G70" s="678"/>
      <c r="H70" s="678"/>
      <c r="I70" s="678"/>
      <c r="J70" s="678"/>
      <c r="K70" s="678"/>
      <c r="L70" s="678"/>
      <c r="M70" s="678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2.5" customHeight="1">
      <c r="B71" s="629"/>
      <c r="C71" s="639"/>
      <c r="D71" s="640"/>
      <c r="E71" s="679" t="s">
        <v>176</v>
      </c>
      <c r="F71" s="679" t="s">
        <v>177</v>
      </c>
      <c r="G71" s="679" t="s">
        <v>178</v>
      </c>
      <c r="H71" s="1359" t="s">
        <v>567</v>
      </c>
      <c r="I71" s="1360"/>
      <c r="J71" s="1360"/>
      <c r="K71" s="1360"/>
      <c r="L71" s="1360"/>
      <c r="M71" s="1361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2.5" customHeight="1">
      <c r="B72" s="629"/>
      <c r="C72" s="647" t="s">
        <v>679</v>
      </c>
      <c r="D72" s="648"/>
      <c r="E72" s="680">
        <f>ejercicio-2</f>
        <v>2018</v>
      </c>
      <c r="F72" s="680">
        <f>ejercicio-1</f>
        <v>2019</v>
      </c>
      <c r="G72" s="680">
        <f>ejercicio</f>
        <v>2020</v>
      </c>
      <c r="H72" s="1362"/>
      <c r="I72" s="1363"/>
      <c r="J72" s="1363"/>
      <c r="K72" s="1363"/>
      <c r="L72" s="1363"/>
      <c r="M72" s="1364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2.5" customHeight="1">
      <c r="B73" s="629"/>
      <c r="C73" s="652" t="s">
        <v>680</v>
      </c>
      <c r="D73" s="653"/>
      <c r="E73" s="654">
        <f>SUM(E74:E76)</f>
        <v>38427.99</v>
      </c>
      <c r="F73" s="654">
        <f>SUM(F74:F76)</f>
        <v>32999.45</v>
      </c>
      <c r="G73" s="654">
        <f>SUM(G74:G76)</f>
        <v>9600</v>
      </c>
      <c r="H73" s="684"/>
      <c r="I73" s="685"/>
      <c r="J73" s="685"/>
      <c r="K73" s="685"/>
      <c r="L73" s="685"/>
      <c r="M73" s="686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2.5" customHeight="1">
      <c r="B74" s="629"/>
      <c r="C74" s="687" t="s">
        <v>681</v>
      </c>
      <c r="D74" s="688"/>
      <c r="E74" s="513"/>
      <c r="F74" s="513"/>
      <c r="G74" s="513"/>
      <c r="H74" s="535"/>
      <c r="I74" s="530"/>
      <c r="J74" s="530"/>
      <c r="K74" s="530"/>
      <c r="L74" s="530"/>
      <c r="M74" s="536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2.5" customHeight="1">
      <c r="B75" s="629"/>
      <c r="C75" s="689" t="s">
        <v>682</v>
      </c>
      <c r="D75" s="663"/>
      <c r="E75" s="514"/>
      <c r="F75" s="514"/>
      <c r="G75" s="514"/>
      <c r="H75" s="540"/>
      <c r="I75" s="703"/>
      <c r="J75" s="703"/>
      <c r="K75" s="703"/>
      <c r="L75" s="703"/>
      <c r="M75" s="537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2.5" customHeight="1">
      <c r="B76" s="629"/>
      <c r="C76" s="690" t="s">
        <v>683</v>
      </c>
      <c r="D76" s="691"/>
      <c r="E76" s="515">
        <v>38427.99</v>
      </c>
      <c r="F76" s="515">
        <v>32999.45</v>
      </c>
      <c r="G76" s="515">
        <v>9600</v>
      </c>
      <c r="H76" s="706"/>
      <c r="I76" s="707"/>
      <c r="J76" s="707"/>
      <c r="K76" s="707"/>
      <c r="L76" s="707"/>
      <c r="M76" s="500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7" customFormat="1" ht="22.5" customHeight="1">
      <c r="B77" s="651"/>
      <c r="C77" s="652" t="s">
        <v>689</v>
      </c>
      <c r="D77" s="653"/>
      <c r="E77" s="654">
        <f>SUM(E78:E83)</f>
        <v>722286.34</v>
      </c>
      <c r="F77" s="654">
        <f>SUM(F78:F83)</f>
        <v>1475522.3</v>
      </c>
      <c r="G77" s="654">
        <f>SUM(G78:G83)</f>
        <v>599347.67</v>
      </c>
      <c r="H77" s="684"/>
      <c r="I77" s="685"/>
      <c r="J77" s="685"/>
      <c r="K77" s="685"/>
      <c r="L77" s="685"/>
      <c r="M77" s="686"/>
      <c r="N77" s="692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2.5" customHeight="1">
      <c r="B78" s="629"/>
      <c r="C78" s="687" t="s">
        <v>684</v>
      </c>
      <c r="D78" s="688"/>
      <c r="E78" s="581">
        <v>51232.25</v>
      </c>
      <c r="F78" s="581">
        <v>222617.39</v>
      </c>
      <c r="G78" s="581">
        <v>106845.1</v>
      </c>
      <c r="H78" s="535"/>
      <c r="I78" s="530"/>
      <c r="J78" s="530"/>
      <c r="K78" s="530"/>
      <c r="L78" s="530"/>
      <c r="M78" s="536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60" customFormat="1" ht="22.5" customHeight="1">
      <c r="B79" s="629"/>
      <c r="C79" s="689" t="s">
        <v>685</v>
      </c>
      <c r="D79" s="663"/>
      <c r="E79" s="583"/>
      <c r="F79" s="583"/>
      <c r="G79" s="583">
        <v>136000</v>
      </c>
      <c r="H79" s="540"/>
      <c r="I79" s="703"/>
      <c r="J79" s="703"/>
      <c r="K79" s="703"/>
      <c r="L79" s="703"/>
      <c r="M79" s="537"/>
      <c r="N79" s="627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2.5" customHeight="1">
      <c r="B80" s="629"/>
      <c r="C80" s="689" t="s">
        <v>686</v>
      </c>
      <c r="D80" s="663"/>
      <c r="E80" s="583">
        <v>175035.99</v>
      </c>
      <c r="F80" s="583">
        <v>412281.63</v>
      </c>
      <c r="G80" s="583">
        <v>212148.03</v>
      </c>
      <c r="H80" s="540"/>
      <c r="I80" s="703"/>
      <c r="J80" s="703"/>
      <c r="K80" s="703"/>
      <c r="L80" s="703"/>
      <c r="M80" s="537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60" customFormat="1" ht="22.5" customHeight="1">
      <c r="B81" s="629"/>
      <c r="C81" s="689" t="s">
        <v>687</v>
      </c>
      <c r="D81" s="663"/>
      <c r="E81" s="583">
        <v>465195.27</v>
      </c>
      <c r="F81" s="583">
        <v>754572.21</v>
      </c>
      <c r="G81" s="583">
        <v>0</v>
      </c>
      <c r="H81" s="540"/>
      <c r="I81" s="703"/>
      <c r="J81" s="703"/>
      <c r="K81" s="703"/>
      <c r="L81" s="703"/>
      <c r="M81" s="537"/>
      <c r="N81" s="627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60" customFormat="1" ht="22.5" customHeight="1">
      <c r="B82" s="629"/>
      <c r="C82" s="693" t="s">
        <v>706</v>
      </c>
      <c r="D82" s="663"/>
      <c r="E82" s="583">
        <v>30822.83</v>
      </c>
      <c r="F82" s="583">
        <v>86051.07</v>
      </c>
      <c r="G82" s="583">
        <v>144354.54</v>
      </c>
      <c r="H82" s="540"/>
      <c r="I82" s="703"/>
      <c r="J82" s="703"/>
      <c r="K82" s="703"/>
      <c r="L82" s="703"/>
      <c r="M82" s="537"/>
      <c r="N82" s="62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60" customFormat="1" ht="22.5" customHeight="1">
      <c r="B83" s="629"/>
      <c r="C83" s="661" t="s">
        <v>688</v>
      </c>
      <c r="D83" s="662"/>
      <c r="E83" s="584"/>
      <c r="F83" s="584"/>
      <c r="G83" s="584"/>
      <c r="H83" s="538"/>
      <c r="I83" s="531"/>
      <c r="J83" s="531"/>
      <c r="K83" s="531"/>
      <c r="L83" s="531"/>
      <c r="M83" s="539"/>
      <c r="N83" s="627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2.5" customHeight="1">
      <c r="B84" s="629"/>
      <c r="C84" s="677"/>
      <c r="D84" s="677"/>
      <c r="E84" s="678"/>
      <c r="F84" s="678"/>
      <c r="G84" s="678"/>
      <c r="H84" s="678"/>
      <c r="I84" s="678"/>
      <c r="J84" s="678"/>
      <c r="K84" s="678"/>
      <c r="L84" s="678"/>
      <c r="M84" s="678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2.5" customHeight="1">
      <c r="B85" s="629"/>
      <c r="C85" s="1368" t="s">
        <v>723</v>
      </c>
      <c r="D85" s="1369"/>
      <c r="E85" s="1370"/>
      <c r="F85" s="772" t="s">
        <v>411</v>
      </c>
      <c r="G85" s="679" t="s">
        <v>178</v>
      </c>
      <c r="H85" s="1366" t="s">
        <v>567</v>
      </c>
      <c r="I85" s="1366"/>
      <c r="J85" s="1366"/>
      <c r="K85" s="1366"/>
      <c r="L85" s="1366"/>
      <c r="M85" s="1366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42.75" customHeight="1">
      <c r="B86" s="629"/>
      <c r="C86" s="1371"/>
      <c r="D86" s="1372"/>
      <c r="E86" s="1373"/>
      <c r="F86" s="773" t="s">
        <v>724</v>
      </c>
      <c r="G86" s="680">
        <f>ejercicio</f>
        <v>2020</v>
      </c>
      <c r="H86" s="1367"/>
      <c r="I86" s="1367"/>
      <c r="J86" s="1367"/>
      <c r="K86" s="1367"/>
      <c r="L86" s="1367"/>
      <c r="M86" s="1367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2.5" customHeight="1" thickBot="1">
      <c r="B87" s="629"/>
      <c r="C87" s="672" t="s">
        <v>728</v>
      </c>
      <c r="D87" s="777"/>
      <c r="E87" s="778"/>
      <c r="F87" s="674"/>
      <c r="G87" s="674">
        <f>SUM(G88:G90)</f>
        <v>0</v>
      </c>
      <c r="H87" s="681"/>
      <c r="I87" s="682"/>
      <c r="J87" s="682"/>
      <c r="K87" s="682"/>
      <c r="L87" s="682"/>
      <c r="M87" s="683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22.5" customHeight="1">
      <c r="B88" s="629"/>
      <c r="C88" s="1374" t="s">
        <v>725</v>
      </c>
      <c r="D88" s="1375"/>
      <c r="E88" s="1376"/>
      <c r="F88" s="818"/>
      <c r="G88" s="513"/>
      <c r="H88" s="779"/>
      <c r="I88" s="530"/>
      <c r="J88" s="530"/>
      <c r="K88" s="530"/>
      <c r="L88" s="530"/>
      <c r="M88" s="715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2.5" customHeight="1">
      <c r="B89" s="629"/>
      <c r="C89" s="774" t="s">
        <v>726</v>
      </c>
      <c r="D89" s="775"/>
      <c r="E89" s="776"/>
      <c r="F89" s="818"/>
      <c r="G89" s="513"/>
      <c r="H89" s="714"/>
      <c r="I89" s="530"/>
      <c r="J89" s="530"/>
      <c r="K89" s="530"/>
      <c r="L89" s="530"/>
      <c r="M89" s="715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22.5" customHeight="1">
      <c r="B90" s="629"/>
      <c r="C90" s="1377" t="s">
        <v>727</v>
      </c>
      <c r="D90" s="1378"/>
      <c r="E90" s="1379"/>
      <c r="F90" s="819"/>
      <c r="G90" s="514"/>
      <c r="H90" s="716"/>
      <c r="I90" s="703"/>
      <c r="J90" s="703"/>
      <c r="K90" s="703"/>
      <c r="L90" s="703"/>
      <c r="M90" s="717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22.5" customHeight="1">
      <c r="B91" s="629"/>
      <c r="C91" s="766"/>
      <c r="D91" s="677"/>
      <c r="E91" s="767"/>
      <c r="F91" s="767"/>
      <c r="G91" s="767"/>
      <c r="H91" s="768"/>
      <c r="I91" s="768"/>
      <c r="J91" s="768"/>
      <c r="K91" s="768"/>
      <c r="L91" s="768"/>
      <c r="M91" s="768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22.5" customHeight="1">
      <c r="B92" s="629"/>
      <c r="C92" s="769" t="s">
        <v>405</v>
      </c>
      <c r="D92" s="770"/>
      <c r="E92" s="678"/>
      <c r="F92" s="678"/>
      <c r="G92" s="678"/>
      <c r="H92" s="678"/>
      <c r="I92" s="678"/>
      <c r="J92" s="678"/>
      <c r="K92" s="678"/>
      <c r="L92" s="678"/>
      <c r="M92" s="678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2.5" customHeight="1">
      <c r="B93" s="629"/>
      <c r="C93" s="770" t="s">
        <v>903</v>
      </c>
      <c r="D93" s="770"/>
      <c r="E93" s="696"/>
      <c r="F93" s="696"/>
      <c r="G93" s="696"/>
      <c r="H93" s="696"/>
      <c r="I93" s="696"/>
      <c r="J93" s="696"/>
      <c r="K93" s="696"/>
      <c r="L93" s="696"/>
      <c r="M93" s="696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2.5" customHeight="1">
      <c r="B94" s="629"/>
      <c r="C94" s="771" t="s">
        <v>1003</v>
      </c>
      <c r="D94" s="770"/>
      <c r="E94" s="696"/>
      <c r="F94" s="696"/>
      <c r="G94" s="696"/>
      <c r="H94" s="696"/>
      <c r="I94" s="696"/>
      <c r="J94" s="696"/>
      <c r="K94" s="696"/>
      <c r="L94" s="696"/>
      <c r="M94" s="696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2.5" customHeight="1">
      <c r="B95" s="629"/>
      <c r="C95" s="771" t="s">
        <v>767</v>
      </c>
      <c r="D95" s="770"/>
      <c r="E95" s="696"/>
      <c r="F95" s="696"/>
      <c r="G95" s="696"/>
      <c r="H95" s="696"/>
      <c r="I95" s="696"/>
      <c r="J95" s="696"/>
      <c r="K95" s="696"/>
      <c r="L95" s="696"/>
      <c r="M95" s="696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5" customHeight="1" thickBot="1">
      <c r="B96" s="697"/>
      <c r="C96" s="1351"/>
      <c r="D96" s="1351"/>
      <c r="E96" s="1351"/>
      <c r="F96" s="1351"/>
      <c r="G96" s="698"/>
      <c r="H96" s="698"/>
      <c r="I96" s="698"/>
      <c r="J96" s="698"/>
      <c r="K96" s="698"/>
      <c r="L96" s="698"/>
      <c r="M96" s="698"/>
      <c r="N96" s="699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5" customHeight="1">
      <c r="C97" s="624"/>
      <c r="D97" s="624"/>
      <c r="E97" s="625"/>
      <c r="F97" s="625"/>
      <c r="G97" s="625"/>
      <c r="H97" s="625"/>
      <c r="I97" s="625"/>
      <c r="J97" s="625"/>
      <c r="K97" s="625"/>
      <c r="L97" s="625"/>
      <c r="M97" s="625"/>
      <c r="O97" s="615" t="s">
        <v>936</v>
      </c>
    </row>
    <row r="98" spans="3:13" ht="12.75">
      <c r="C98" s="700" t="s">
        <v>70</v>
      </c>
      <c r="D98" s="624"/>
      <c r="E98" s="625"/>
      <c r="F98" s="625"/>
      <c r="G98" s="625"/>
      <c r="H98" s="625"/>
      <c r="I98" s="625"/>
      <c r="J98" s="625"/>
      <c r="K98" s="625"/>
      <c r="L98" s="625"/>
      <c r="M98" s="701" t="s">
        <v>46</v>
      </c>
    </row>
    <row r="99" spans="3:13" ht="12.75">
      <c r="C99" s="702" t="s">
        <v>71</v>
      </c>
      <c r="D99" s="624"/>
      <c r="E99" s="625"/>
      <c r="F99" s="625"/>
      <c r="G99" s="625"/>
      <c r="H99" s="625"/>
      <c r="I99" s="625"/>
      <c r="J99" s="625"/>
      <c r="K99" s="625"/>
      <c r="L99" s="625"/>
      <c r="M99" s="625"/>
    </row>
    <row r="100" spans="3:13" ht="12.75">
      <c r="C100" s="702" t="s">
        <v>72</v>
      </c>
      <c r="D100" s="624"/>
      <c r="E100" s="625"/>
      <c r="F100" s="625"/>
      <c r="G100" s="625"/>
      <c r="H100" s="625"/>
      <c r="I100" s="625"/>
      <c r="J100" s="625"/>
      <c r="K100" s="625"/>
      <c r="L100" s="625"/>
      <c r="M100" s="625"/>
    </row>
    <row r="101" spans="3:13" ht="12.75">
      <c r="C101" s="702" t="s">
        <v>73</v>
      </c>
      <c r="D101" s="624"/>
      <c r="E101" s="625"/>
      <c r="F101" s="625"/>
      <c r="G101" s="625"/>
      <c r="H101" s="625"/>
      <c r="I101" s="625"/>
      <c r="J101" s="625"/>
      <c r="K101" s="625"/>
      <c r="L101" s="625"/>
      <c r="M101" s="625"/>
    </row>
    <row r="102" spans="3:13" ht="12.75">
      <c r="C102" s="702" t="s">
        <v>74</v>
      </c>
      <c r="D102" s="624"/>
      <c r="E102" s="625"/>
      <c r="F102" s="625"/>
      <c r="G102" s="625"/>
      <c r="H102" s="625"/>
      <c r="I102" s="625"/>
      <c r="J102" s="625"/>
      <c r="K102" s="625"/>
      <c r="L102" s="625"/>
      <c r="M102" s="625"/>
    </row>
    <row r="103" spans="3:13" ht="22.5" customHeight="1">
      <c r="C103" s="624"/>
      <c r="D103" s="624"/>
      <c r="E103" s="625"/>
      <c r="F103" s="625"/>
      <c r="G103" s="625"/>
      <c r="H103" s="625"/>
      <c r="I103" s="625"/>
      <c r="J103" s="625"/>
      <c r="K103" s="625"/>
      <c r="L103" s="625"/>
      <c r="M103" s="625"/>
    </row>
    <row r="104" spans="3:13" ht="22.5" customHeight="1">
      <c r="C104" s="624"/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3:13" ht="22.5" customHeight="1">
      <c r="C105" s="624"/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3" ht="22.5" customHeight="1">
      <c r="C106" s="624"/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6:13" ht="22.5" customHeight="1">
      <c r="F107" s="625"/>
      <c r="G107" s="625"/>
      <c r="H107" s="625"/>
      <c r="I107" s="625"/>
      <c r="J107" s="625"/>
      <c r="K107" s="625"/>
      <c r="L107" s="625"/>
      <c r="M107" s="625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ignoredErrors>
    <ignoredError sqref="E48:G48 E57:G57 E52:G52 F49:G49 F50:G50 F51:G51 E61:G61 F58:G58 F59:G59 F60:G6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11C1FF"/>
    <pageSetUpPr fitToPage="1"/>
  </sheetPr>
  <dimension ref="A1:W106"/>
  <sheetViews>
    <sheetView zoomScalePageLayoutView="0" workbookViewId="0" topLeftCell="A1">
      <selection activeCell="G91" sqref="G91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8" t="str">
        <f>Entidad</f>
        <v>INSTITUTO VOLCANOLOGICO DE CANARIAS SAU</v>
      </c>
      <c r="E9" s="1358"/>
      <c r="F9" s="1358"/>
      <c r="G9" s="135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640989.1200000001</v>
      </c>
      <c r="F16" s="325">
        <f>F17+F26+F30+F33+F40+F47+F48</f>
        <v>2761188.2800000003</v>
      </c>
      <c r="G16" s="339">
        <f>G17+G26+G30+G33+G40+G47+G48</f>
        <v>2699962.69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9037.18</v>
      </c>
      <c r="F17" s="326">
        <f>SUM(F18:F25)</f>
        <v>3557.18</v>
      </c>
      <c r="G17" s="341">
        <f>SUM(G18:G25)</f>
        <v>986.37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/>
      <c r="F20" s="458"/>
      <c r="G20" s="459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>
        <v>9037.18</v>
      </c>
      <c r="F22" s="458">
        <v>3557.18</v>
      </c>
      <c r="G22" s="459">
        <v>986.37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/>
      <c r="F25" s="458"/>
      <c r="G25" s="459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631951.9400000001</v>
      </c>
      <c r="F26" s="326">
        <f>SUM(F27:F29)</f>
        <v>2757631.1</v>
      </c>
      <c r="G26" s="341">
        <f>SUM(G27:G29)</f>
        <v>2698976.32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/>
      <c r="F27" s="455"/>
      <c r="G27" s="456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630497.3</v>
      </c>
      <c r="F28" s="458">
        <v>2273911.29</v>
      </c>
      <c r="G28" s="459">
        <v>2215256.51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>
        <v>1454.64</v>
      </c>
      <c r="F29" s="458">
        <v>483719.81</v>
      </c>
      <c r="G29" s="459">
        <v>483719.81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0</v>
      </c>
      <c r="F40" s="326">
        <f>SUM(F41:F46)</f>
        <v>0</v>
      </c>
      <c r="G40" s="341">
        <f>SUM(G41:G46)</f>
        <v>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6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/>
      <c r="F45" s="458"/>
      <c r="G45" s="459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/>
      <c r="F46" s="458"/>
      <c r="G46" s="459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/>
      <c r="F47" s="461"/>
      <c r="G47" s="46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2899184.9200000004</v>
      </c>
      <c r="F50" s="325">
        <f>F51+F52+F65+F75+F82+F89+F90</f>
        <v>1493049.69</v>
      </c>
      <c r="G50" s="339">
        <f>G51+G52+G65+G75+G82+G89+G90</f>
        <v>295731.58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0</v>
      </c>
      <c r="F52" s="326">
        <f>F53+F54+F57+F60+F63+F64</f>
        <v>0</v>
      </c>
      <c r="G52" s="341">
        <f>G53+G54+G57+G60+G63+G64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8"/>
      <c r="F55" s="709"/>
      <c r="G55" s="710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8"/>
      <c r="F56" s="709"/>
      <c r="G56" s="710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8"/>
      <c r="F58" s="709"/>
      <c r="G58" s="710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8"/>
      <c r="F59" s="709"/>
      <c r="G59" s="710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8"/>
      <c r="F61" s="709"/>
      <c r="G61" s="710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8"/>
      <c r="F62" s="709"/>
      <c r="G62" s="710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2626924.5900000003</v>
      </c>
      <c r="F65" s="326">
        <f>F66+SUM(F69:F74)</f>
        <v>846270.81</v>
      </c>
      <c r="G65" s="341">
        <f>G66+SUM(G69:G74)</f>
        <v>145807.81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102702.57</v>
      </c>
      <c r="F66" s="327">
        <f>F67+F68</f>
        <v>45844.65</v>
      </c>
      <c r="G66" s="344">
        <f>G67+G68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8"/>
      <c r="F67" s="709"/>
      <c r="G67" s="710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8">
        <v>102702.57</v>
      </c>
      <c r="F68" s="709">
        <v>45844.65</v>
      </c>
      <c r="G68" s="710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/>
      <c r="F69" s="458"/>
      <c r="G69" s="459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>
        <v>2498321.37</v>
      </c>
      <c r="F70" s="458">
        <v>699348.55</v>
      </c>
      <c r="G70" s="459">
        <v>42117.52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>
        <v>2979.66</v>
      </c>
      <c r="F71" s="458"/>
      <c r="G71" s="459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/>
      <c r="F72" s="458"/>
      <c r="G72" s="459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>
        <v>22920.99</v>
      </c>
      <c r="F73" s="458">
        <v>101077.61</v>
      </c>
      <c r="G73" s="459">
        <v>103690.29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128438.9</v>
      </c>
      <c r="F75" s="326">
        <f>SUM(F76:F81)</f>
        <v>132727.44</v>
      </c>
      <c r="G75" s="341">
        <f>SUM(G76:G81)</f>
        <v>132727.44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>
        <v>128438.9</v>
      </c>
      <c r="F77" s="458">
        <v>132727.44</v>
      </c>
      <c r="G77" s="459">
        <v>132727.44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185.31</v>
      </c>
      <c r="F82" s="326">
        <f>SUM(F83:F88)</f>
        <v>262.77</v>
      </c>
      <c r="G82" s="341">
        <f>SUM(G83:G88)</f>
        <v>262.77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>
        <v>185.31</v>
      </c>
      <c r="F87" s="458">
        <v>262.77</v>
      </c>
      <c r="G87" s="459">
        <v>262.77</v>
      </c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/>
      <c r="F89" s="461"/>
      <c r="G89" s="462"/>
      <c r="H89" s="60"/>
      <c r="J89" s="422"/>
      <c r="K89" s="1237"/>
      <c r="L89" s="1237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143636.12</v>
      </c>
      <c r="F90" s="326">
        <f>SUM(F91:F92)</f>
        <v>513788.67</v>
      </c>
      <c r="G90" s="341">
        <f>SUM(G91:G92)</f>
        <v>16933.56</v>
      </c>
      <c r="H90" s="49"/>
      <c r="J90" s="422"/>
      <c r="K90" s="1237"/>
      <c r="L90" s="1237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143636.12</v>
      </c>
      <c r="F91" s="458">
        <v>513788.67</v>
      </c>
      <c r="G91" s="459">
        <v>16933.56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3540174.0400000005</v>
      </c>
      <c r="F94" s="329">
        <f>F50+F16</f>
        <v>4254237.970000001</v>
      </c>
      <c r="G94" s="314">
        <f>G50+G16</f>
        <v>2995694.27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57"/>
      <c r="D95" s="1357"/>
      <c r="E95" s="1357"/>
      <c r="F95" s="1357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8"/>
      <c r="F102" s="712"/>
      <c r="G102" s="712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11C1FF"/>
    <pageSetUpPr fitToPage="1"/>
  </sheetPr>
  <dimension ref="A1:W98"/>
  <sheetViews>
    <sheetView zoomScalePageLayoutView="0" workbookViewId="0" topLeftCell="A1">
      <selection activeCell="G32" sqref="G32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8" t="str">
        <f>Entidad</f>
        <v>INSTITUTO VOLCANOLOGICO DE CANARIAS SAU</v>
      </c>
      <c r="E9" s="1358"/>
      <c r="F9" s="1358"/>
      <c r="G9" s="135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2279225.25</v>
      </c>
      <c r="F16" s="130">
        <f>F17+F35+F41</f>
        <v>2123972.13</v>
      </c>
      <c r="G16" s="139">
        <f>G17+G35+G41</f>
        <v>2083448.72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224807.88</v>
      </c>
      <c r="F17" s="131">
        <f>+F18+F21+F22+F27+F28+F31+F32+F33+F34</f>
        <v>59896.19</v>
      </c>
      <c r="G17" s="141">
        <f>+G18+G21+G22+G27+G28+G31+G32+G33+G34</f>
        <v>81522.66999999998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60200</v>
      </c>
      <c r="F18" s="131">
        <f>SUM(F19:F20)</f>
        <v>60200</v>
      </c>
      <c r="G18" s="141">
        <f>SUM(G19:G20)</f>
        <v>60200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60200</v>
      </c>
      <c r="F19" s="450">
        <v>60200</v>
      </c>
      <c r="G19" s="466">
        <v>60200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127290.84</v>
      </c>
      <c r="F22" s="131">
        <f>SUM(F23:F26)</f>
        <v>179217.88</v>
      </c>
      <c r="G22" s="141">
        <f>SUM(G23:G26)</f>
        <v>179217.88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>
        <v>12040</v>
      </c>
      <c r="F23" s="450">
        <v>12040</v>
      </c>
      <c r="G23" s="466">
        <v>12040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115250.84</v>
      </c>
      <c r="F24" s="451">
        <v>167177.88</v>
      </c>
      <c r="G24" s="467">
        <v>167177.88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-14610</v>
      </c>
      <c r="F28" s="131">
        <f>SUM(F29:F30)</f>
        <v>-14610</v>
      </c>
      <c r="G28" s="141">
        <f>SUM(G29:G30)</f>
        <v>-179521.69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>
        <v>-14610</v>
      </c>
      <c r="F30" s="451">
        <v>-14610</v>
      </c>
      <c r="G30" s="467">
        <v>-179521.69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/>
      <c r="F31" s="452"/>
      <c r="G31" s="468">
        <v>375000</v>
      </c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51927.04</v>
      </c>
      <c r="F32" s="452">
        <v>-164911.69</v>
      </c>
      <c r="G32" s="468">
        <v>-353373.52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>
        <v>2054417.37</v>
      </c>
      <c r="F41" s="452">
        <v>2064075.94</v>
      </c>
      <c r="G41" s="468">
        <v>2001926.05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684805.77</v>
      </c>
      <c r="F43" s="130">
        <f>F44+F49+SUM(F55:F59)</f>
        <v>688025.3</v>
      </c>
      <c r="G43" s="139">
        <f>G44+G49+SUM(G55:G59)</f>
        <v>667308.67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0</v>
      </c>
      <c r="F49" s="131">
        <f>SUM(F50:F54)</f>
        <v>0</v>
      </c>
      <c r="G49" s="141">
        <f>SUM(G50:G54)</f>
        <v>0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/>
      <c r="F54" s="451"/>
      <c r="G54" s="467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>
        <v>684805.77</v>
      </c>
      <c r="F56" s="452">
        <v>688025.3</v>
      </c>
      <c r="G56" s="468">
        <v>667308.67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576143.02</v>
      </c>
      <c r="F61" s="130">
        <f>F62+F63+F66+F72+F73+F83+F84</f>
        <v>1442240.54</v>
      </c>
      <c r="G61" s="139">
        <f>G62+G63+G66+G72+G73+G83+G84</f>
        <v>244936.88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/>
      <c r="F65" s="451"/>
      <c r="G65" s="467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0</v>
      </c>
      <c r="F66" s="131">
        <f>SUM(F67:F71)</f>
        <v>35802.14</v>
      </c>
      <c r="G66" s="141">
        <f>SUM(G67:G71)</f>
        <v>35802.14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/>
      <c r="F68" s="451"/>
      <c r="G68" s="467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/>
      <c r="F71" s="451">
        <v>35802.14</v>
      </c>
      <c r="G71" s="467">
        <v>35802.14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>
        <v>350869.2</v>
      </c>
      <c r="F72" s="452">
        <v>5178.12</v>
      </c>
      <c r="G72" s="468">
        <v>5178.12</v>
      </c>
      <c r="H72" s="49"/>
      <c r="J72" s="422"/>
      <c r="K72" s="1237"/>
      <c r="L72" s="1237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41225.91</v>
      </c>
      <c r="F73" s="131">
        <f>F74+SUM(F77:F82)</f>
        <v>1401260.28</v>
      </c>
      <c r="G73" s="141">
        <f>G74+SUM(G77:G82)</f>
        <v>203956.62</v>
      </c>
      <c r="H73" s="49"/>
      <c r="J73" s="422"/>
      <c r="K73" s="1237"/>
      <c r="L73" s="1237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0</v>
      </c>
      <c r="F74" s="133">
        <f>SUM(F75:F76)</f>
        <v>0</v>
      </c>
      <c r="G74" s="144">
        <f>SUM(G75:G76)</f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/>
      <c r="F76" s="469"/>
      <c r="G76" s="470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/>
      <c r="F77" s="451"/>
      <c r="G77" s="467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17799.94</v>
      </c>
      <c r="F78" s="451">
        <v>1379226.76</v>
      </c>
      <c r="G78" s="467">
        <v>180456.62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>
        <v>2862.32</v>
      </c>
      <c r="F79" s="451"/>
      <c r="G79" s="467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v>18783.65</v>
      </c>
      <c r="F81" s="451">
        <v>22033.52</v>
      </c>
      <c r="G81" s="467">
        <v>23500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>
        <v>1780</v>
      </c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>
        <v>184047.91</v>
      </c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3540174.04</v>
      </c>
      <c r="F86" s="135">
        <f>F16+F43+F61</f>
        <v>4254237.97</v>
      </c>
      <c r="G86" s="150">
        <f>G16+G43+G61</f>
        <v>2995694.27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57"/>
      <c r="D87" s="1357"/>
      <c r="E87" s="1357"/>
      <c r="F87" s="1357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2">
        <f>IF(_CHECK_LIST!J15&gt;0,"Revisa","")</f>
      </c>
      <c r="F94" s="712">
        <f>IF(_CHECK_LIST!K15&gt;0,"Revisa","")</f>
      </c>
      <c r="G94" s="712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11C1FF"/>
    <pageSetUpPr fitToPage="1"/>
  </sheetPr>
  <dimension ref="A1:AF69"/>
  <sheetViews>
    <sheetView zoomScalePageLayoutView="0" workbookViewId="0" topLeftCell="F34">
      <selection activeCell="H53" sqref="H53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76.77734375" style="722" customWidth="1"/>
    <col min="5" max="16" width="18.2148437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1350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1350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52" t="str">
        <f>Entidad</f>
        <v>INSTITUTO VOLCANOLOGICO DE CANARIAS SAU</v>
      </c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352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957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40" customFormat="1" ht="30" customHeight="1">
      <c r="B12" s="737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73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1404">
        <f>ejercicio-1</f>
        <v>2019</v>
      </c>
      <c r="D13" s="1406" t="s">
        <v>965</v>
      </c>
      <c r="E13" s="1193" t="s">
        <v>667</v>
      </c>
      <c r="F13" s="1193" t="s">
        <v>958</v>
      </c>
      <c r="G13" s="1193" t="s">
        <v>959</v>
      </c>
      <c r="H13" s="1193" t="s">
        <v>958</v>
      </c>
      <c r="I13" s="1194" t="s">
        <v>962</v>
      </c>
      <c r="J13" s="1194" t="s">
        <v>963</v>
      </c>
      <c r="K13" s="1194" t="s">
        <v>985</v>
      </c>
      <c r="L13" s="1193" t="s">
        <v>964</v>
      </c>
      <c r="M13" s="1383"/>
      <c r="N13" s="1384"/>
      <c r="O13" s="1384"/>
      <c r="P13" s="1385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1405"/>
      <c r="D14" s="1407"/>
      <c r="E14" s="1195">
        <f>ejercicio-2</f>
        <v>2018</v>
      </c>
      <c r="F14" s="1196" t="s">
        <v>251</v>
      </c>
      <c r="G14" s="1196" t="s">
        <v>251</v>
      </c>
      <c r="H14" s="1196" t="s">
        <v>961</v>
      </c>
      <c r="I14" s="1197" t="s">
        <v>960</v>
      </c>
      <c r="J14" s="1198" t="s">
        <v>967</v>
      </c>
      <c r="K14" s="1197" t="s">
        <v>986</v>
      </c>
      <c r="L14" s="1195">
        <f>ejercicio-1</f>
        <v>2019</v>
      </c>
      <c r="M14" s="1380" t="s">
        <v>987</v>
      </c>
      <c r="N14" s="1381"/>
      <c r="O14" s="1381"/>
      <c r="P14" s="1382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1199"/>
      <c r="D15" s="1200"/>
      <c r="E15" s="1201"/>
      <c r="F15" s="1201"/>
      <c r="G15" s="1201"/>
      <c r="H15" s="1201"/>
      <c r="I15" s="1201"/>
      <c r="J15" s="1201"/>
      <c r="K15" s="1201"/>
      <c r="L15" s="1201"/>
      <c r="M15" s="1386"/>
      <c r="N15" s="1387"/>
      <c r="O15" s="1387"/>
      <c r="P15" s="1388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2" customFormat="1" ht="27" customHeight="1">
      <c r="B16" s="737"/>
      <c r="C16" s="1203" t="s">
        <v>129</v>
      </c>
      <c r="D16" s="1204" t="s">
        <v>250</v>
      </c>
      <c r="E16" s="1205">
        <f aca="true" t="shared" si="0" ref="E16:L16">+E17+E20+E21+E26+E27+E30+E31+E32+E33</f>
        <v>224807.88</v>
      </c>
      <c r="F16" s="1205">
        <f t="shared" si="0"/>
        <v>0</v>
      </c>
      <c r="G16" s="1205">
        <f t="shared" si="0"/>
        <v>0</v>
      </c>
      <c r="H16" s="1205">
        <f t="shared" si="0"/>
        <v>0</v>
      </c>
      <c r="I16" s="1205">
        <f t="shared" si="0"/>
        <v>0</v>
      </c>
      <c r="J16" s="1205">
        <f t="shared" si="0"/>
        <v>0</v>
      </c>
      <c r="K16" s="1205">
        <f t="shared" si="0"/>
        <v>-164911.69</v>
      </c>
      <c r="L16" s="1205">
        <f t="shared" si="0"/>
        <v>59896.19</v>
      </c>
      <c r="M16" s="1389"/>
      <c r="N16" s="1390"/>
      <c r="O16" s="1390"/>
      <c r="P16" s="1391"/>
      <c r="Q16" s="739"/>
      <c r="S16" s="1190"/>
      <c r="T16" s="1191"/>
      <c r="U16" s="1191"/>
      <c r="V16" s="1191"/>
      <c r="W16" s="1191"/>
      <c r="X16" s="1191"/>
      <c r="Y16" s="1191"/>
      <c r="Z16" s="1191"/>
      <c r="AA16" s="1191"/>
      <c r="AB16" s="1191"/>
      <c r="AC16" s="1191"/>
      <c r="AD16" s="1191"/>
      <c r="AE16" s="1191"/>
      <c r="AF16" s="1192"/>
    </row>
    <row r="17" spans="2:32" ht="27" customHeight="1">
      <c r="B17" s="727"/>
      <c r="C17" s="1206" t="s">
        <v>182</v>
      </c>
      <c r="D17" s="1207" t="s">
        <v>251</v>
      </c>
      <c r="E17" s="1208">
        <f aca="true" t="shared" si="1" ref="E17:L17">SUM(E18:E19)</f>
        <v>60200</v>
      </c>
      <c r="F17" s="1208">
        <f t="shared" si="1"/>
        <v>0</v>
      </c>
      <c r="G17" s="1208">
        <f t="shared" si="1"/>
        <v>0</v>
      </c>
      <c r="H17" s="1208">
        <f t="shared" si="1"/>
        <v>0</v>
      </c>
      <c r="I17" s="1208">
        <f t="shared" si="1"/>
        <v>0</v>
      </c>
      <c r="J17" s="1208">
        <f t="shared" si="1"/>
        <v>0</v>
      </c>
      <c r="K17" s="1208">
        <f t="shared" si="1"/>
        <v>0</v>
      </c>
      <c r="L17" s="1208">
        <f t="shared" si="1"/>
        <v>60200</v>
      </c>
      <c r="M17" s="1392"/>
      <c r="N17" s="1393"/>
      <c r="O17" s="1393"/>
      <c r="P17" s="1394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7"/>
      <c r="C18" s="1209" t="s">
        <v>81</v>
      </c>
      <c r="D18" s="1210" t="s">
        <v>252</v>
      </c>
      <c r="E18" s="1211">
        <f>'FC-4_PASIVO'!E19</f>
        <v>60200</v>
      </c>
      <c r="F18" s="450"/>
      <c r="G18" s="450"/>
      <c r="H18" s="450"/>
      <c r="I18" s="450"/>
      <c r="J18" s="450"/>
      <c r="K18" s="450"/>
      <c r="L18" s="1211">
        <f>SUM(E18:K18)</f>
        <v>60200</v>
      </c>
      <c r="M18" s="1395"/>
      <c r="N18" s="1396"/>
      <c r="O18" s="1396"/>
      <c r="P18" s="1397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7"/>
      <c r="C19" s="1212" t="s">
        <v>88</v>
      </c>
      <c r="D19" s="1213" t="s">
        <v>253</v>
      </c>
      <c r="E19" s="1214">
        <f>'FC-4_PASIVO'!E20</f>
        <v>0</v>
      </c>
      <c r="F19" s="451"/>
      <c r="G19" s="451"/>
      <c r="H19" s="451"/>
      <c r="I19" s="451"/>
      <c r="J19" s="451"/>
      <c r="K19" s="451"/>
      <c r="L19" s="1214">
        <f>SUM(E19:K19)</f>
        <v>0</v>
      </c>
      <c r="M19" s="1398"/>
      <c r="N19" s="1399"/>
      <c r="O19" s="1399"/>
      <c r="P19" s="1400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7"/>
      <c r="C20" s="1206" t="s">
        <v>192</v>
      </c>
      <c r="D20" s="1207" t="s">
        <v>254</v>
      </c>
      <c r="E20" s="1208">
        <f>'FC-4_PASIVO'!E21</f>
        <v>0</v>
      </c>
      <c r="F20" s="452"/>
      <c r="G20" s="452"/>
      <c r="H20" s="452"/>
      <c r="I20" s="452"/>
      <c r="J20" s="452"/>
      <c r="K20" s="452"/>
      <c r="L20" s="1208">
        <f>SUM(E20:K20)</f>
        <v>0</v>
      </c>
      <c r="M20" s="1401"/>
      <c r="N20" s="1402"/>
      <c r="O20" s="1402"/>
      <c r="P20" s="1403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7"/>
      <c r="C21" s="1206" t="s">
        <v>197</v>
      </c>
      <c r="D21" s="1207" t="s">
        <v>255</v>
      </c>
      <c r="E21" s="1208">
        <f aca="true" t="shared" si="2" ref="E21:L21">SUM(E22:E25)</f>
        <v>127290.84</v>
      </c>
      <c r="F21" s="1208">
        <f t="shared" si="2"/>
        <v>0</v>
      </c>
      <c r="G21" s="1208">
        <f t="shared" si="2"/>
        <v>0</v>
      </c>
      <c r="H21" s="1208">
        <f t="shared" si="2"/>
        <v>0</v>
      </c>
      <c r="I21" s="1208">
        <f t="shared" si="2"/>
        <v>51927.04</v>
      </c>
      <c r="J21" s="1208">
        <f t="shared" si="2"/>
        <v>0</v>
      </c>
      <c r="K21" s="1208">
        <f t="shared" si="2"/>
        <v>0</v>
      </c>
      <c r="L21" s="1208">
        <f t="shared" si="2"/>
        <v>179217.88</v>
      </c>
      <c r="M21" s="1392"/>
      <c r="N21" s="1393"/>
      <c r="O21" s="1393"/>
      <c r="P21" s="1394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7"/>
      <c r="C22" s="1209" t="s">
        <v>81</v>
      </c>
      <c r="D22" s="1210" t="s">
        <v>256</v>
      </c>
      <c r="E22" s="1211">
        <f>'FC-4_PASIVO'!E23</f>
        <v>12040</v>
      </c>
      <c r="F22" s="450"/>
      <c r="G22" s="450"/>
      <c r="H22" s="450"/>
      <c r="I22" s="450"/>
      <c r="J22" s="450"/>
      <c r="K22" s="450"/>
      <c r="L22" s="1211">
        <f>SUM(E22:K22)</f>
        <v>12040</v>
      </c>
      <c r="M22" s="1395"/>
      <c r="N22" s="1396"/>
      <c r="O22" s="1396"/>
      <c r="P22" s="1397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7"/>
      <c r="C23" s="1212" t="s">
        <v>88</v>
      </c>
      <c r="D23" s="1213" t="s">
        <v>257</v>
      </c>
      <c r="E23" s="1214">
        <f>'FC-4_PASIVO'!E24</f>
        <v>115250.84</v>
      </c>
      <c r="F23" s="451"/>
      <c r="G23" s="451"/>
      <c r="H23" s="451"/>
      <c r="I23" s="451">
        <v>51927.04</v>
      </c>
      <c r="J23" s="451"/>
      <c r="K23" s="451"/>
      <c r="L23" s="1214">
        <f>SUM(E23:K23)</f>
        <v>167177.88</v>
      </c>
      <c r="M23" s="1398"/>
      <c r="N23" s="1399"/>
      <c r="O23" s="1399"/>
      <c r="P23" s="1400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7"/>
      <c r="C24" s="1212" t="s">
        <v>90</v>
      </c>
      <c r="D24" s="1213" t="s">
        <v>258</v>
      </c>
      <c r="E24" s="1214">
        <f>'FC-4_PASIVO'!E25</f>
        <v>0</v>
      </c>
      <c r="F24" s="451"/>
      <c r="G24" s="451"/>
      <c r="H24" s="451"/>
      <c r="I24" s="451"/>
      <c r="J24" s="451"/>
      <c r="K24" s="451"/>
      <c r="L24" s="1214">
        <f>SUM(E24:K24)</f>
        <v>0</v>
      </c>
      <c r="M24" s="1398"/>
      <c r="N24" s="1399"/>
      <c r="O24" s="1399"/>
      <c r="P24" s="1400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7"/>
      <c r="C25" s="1212" t="s">
        <v>92</v>
      </c>
      <c r="D25" s="1213" t="s">
        <v>313</v>
      </c>
      <c r="E25" s="1214">
        <f>'FC-4_PASIVO'!E26</f>
        <v>0</v>
      </c>
      <c r="F25" s="451"/>
      <c r="G25" s="451"/>
      <c r="H25" s="451"/>
      <c r="I25" s="451"/>
      <c r="J25" s="451"/>
      <c r="K25" s="451"/>
      <c r="L25" s="1214">
        <f>SUM(E25:K25)</f>
        <v>0</v>
      </c>
      <c r="M25" s="1398"/>
      <c r="N25" s="1399"/>
      <c r="O25" s="1399"/>
      <c r="P25" s="1400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7"/>
      <c r="C26" s="1206" t="s">
        <v>201</v>
      </c>
      <c r="D26" s="1207" t="s">
        <v>259</v>
      </c>
      <c r="E26" s="1208">
        <f>'FC-4_PASIVO'!E27</f>
        <v>0</v>
      </c>
      <c r="F26" s="452"/>
      <c r="G26" s="452"/>
      <c r="H26" s="452"/>
      <c r="I26" s="452"/>
      <c r="J26" s="452"/>
      <c r="K26" s="452"/>
      <c r="L26" s="1208">
        <f>SUM(E26:K26)</f>
        <v>0</v>
      </c>
      <c r="M26" s="1401"/>
      <c r="N26" s="1402"/>
      <c r="O26" s="1402"/>
      <c r="P26" s="1403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7"/>
      <c r="C27" s="1206" t="s">
        <v>209</v>
      </c>
      <c r="D27" s="1207" t="s">
        <v>260</v>
      </c>
      <c r="E27" s="1208">
        <f aca="true" t="shared" si="3" ref="E27:L27">SUM(E28:E29)</f>
        <v>-14610</v>
      </c>
      <c r="F27" s="1208">
        <f t="shared" si="3"/>
        <v>0</v>
      </c>
      <c r="G27" s="1208">
        <f t="shared" si="3"/>
        <v>0</v>
      </c>
      <c r="H27" s="1208">
        <f t="shared" si="3"/>
        <v>0</v>
      </c>
      <c r="I27" s="1208">
        <f t="shared" si="3"/>
        <v>0</v>
      </c>
      <c r="J27" s="1208">
        <f t="shared" si="3"/>
        <v>0</v>
      </c>
      <c r="K27" s="1208">
        <f t="shared" si="3"/>
        <v>0</v>
      </c>
      <c r="L27" s="1208">
        <f t="shared" si="3"/>
        <v>-14610</v>
      </c>
      <c r="M27" s="1392"/>
      <c r="N27" s="1393"/>
      <c r="O27" s="1393"/>
      <c r="P27" s="1394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7"/>
      <c r="C28" s="1209" t="s">
        <v>81</v>
      </c>
      <c r="D28" s="1210" t="s">
        <v>261</v>
      </c>
      <c r="E28" s="1211">
        <f>'FC-4_PASIVO'!E29</f>
        <v>0</v>
      </c>
      <c r="F28" s="450"/>
      <c r="G28" s="450"/>
      <c r="H28" s="450"/>
      <c r="I28" s="450"/>
      <c r="J28" s="450"/>
      <c r="K28" s="450"/>
      <c r="L28" s="1211">
        <f aca="true" t="shared" si="4" ref="L28:L33">SUM(E28:K28)</f>
        <v>0</v>
      </c>
      <c r="M28" s="1395"/>
      <c r="N28" s="1396"/>
      <c r="O28" s="1396"/>
      <c r="P28" s="1397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7"/>
      <c r="C29" s="1212" t="s">
        <v>88</v>
      </c>
      <c r="D29" s="1213" t="s">
        <v>262</v>
      </c>
      <c r="E29" s="1214">
        <f>'FC-4_PASIVO'!E30</f>
        <v>-14610</v>
      </c>
      <c r="F29" s="451"/>
      <c r="G29" s="451"/>
      <c r="H29" s="451"/>
      <c r="I29" s="451"/>
      <c r="J29" s="451"/>
      <c r="K29" s="451"/>
      <c r="L29" s="1214">
        <f t="shared" si="4"/>
        <v>-14610</v>
      </c>
      <c r="M29" s="1398"/>
      <c r="N29" s="1399"/>
      <c r="O29" s="1399"/>
      <c r="P29" s="1400"/>
      <c r="Q29" s="729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7"/>
      <c r="C30" s="1206" t="s">
        <v>212</v>
      </c>
      <c r="D30" s="1207" t="s">
        <v>263</v>
      </c>
      <c r="E30" s="1208">
        <f>'FC-4_PASIVO'!E31</f>
        <v>0</v>
      </c>
      <c r="F30" s="452"/>
      <c r="G30" s="452"/>
      <c r="H30" s="452"/>
      <c r="I30" s="452"/>
      <c r="J30" s="452"/>
      <c r="K30" s="452"/>
      <c r="L30" s="1208">
        <f t="shared" si="4"/>
        <v>0</v>
      </c>
      <c r="M30" s="1401"/>
      <c r="N30" s="1402"/>
      <c r="O30" s="1402"/>
      <c r="P30" s="1403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7"/>
      <c r="C31" s="1206" t="s">
        <v>214</v>
      </c>
      <c r="D31" s="1207" t="s">
        <v>264</v>
      </c>
      <c r="E31" s="1208">
        <f>'FC-4_PASIVO'!E32</f>
        <v>51927.04</v>
      </c>
      <c r="F31" s="452"/>
      <c r="G31" s="452"/>
      <c r="H31" s="452"/>
      <c r="I31" s="452">
        <v>-51927.04</v>
      </c>
      <c r="J31" s="452"/>
      <c r="K31" s="452">
        <v>-164911.69</v>
      </c>
      <c r="L31" s="1208">
        <f t="shared" si="4"/>
        <v>-164911.69</v>
      </c>
      <c r="M31" s="1392"/>
      <c r="N31" s="1393"/>
      <c r="O31" s="1393"/>
      <c r="P31" s="1394"/>
      <c r="Q31" s="729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7"/>
      <c r="C32" s="1206" t="s">
        <v>265</v>
      </c>
      <c r="D32" s="1207" t="s">
        <v>266</v>
      </c>
      <c r="E32" s="1208">
        <f>'FC-4_PASIVO'!E33</f>
        <v>0</v>
      </c>
      <c r="F32" s="452"/>
      <c r="G32" s="452"/>
      <c r="H32" s="452"/>
      <c r="I32" s="452"/>
      <c r="J32" s="452"/>
      <c r="K32" s="452"/>
      <c r="L32" s="1208">
        <f t="shared" si="4"/>
        <v>0</v>
      </c>
      <c r="M32" s="1392"/>
      <c r="N32" s="1393"/>
      <c r="O32" s="1393"/>
      <c r="P32" s="1394"/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7"/>
      <c r="C33" s="1206" t="s">
        <v>267</v>
      </c>
      <c r="D33" s="1207" t="s">
        <v>268</v>
      </c>
      <c r="E33" s="1208">
        <f>'FC-4_PASIVO'!E34</f>
        <v>0</v>
      </c>
      <c r="F33" s="452"/>
      <c r="G33" s="452"/>
      <c r="H33" s="452"/>
      <c r="I33" s="452"/>
      <c r="J33" s="452"/>
      <c r="K33" s="452"/>
      <c r="L33" s="1208">
        <f t="shared" si="4"/>
        <v>0</v>
      </c>
      <c r="M33" s="1392"/>
      <c r="N33" s="1393"/>
      <c r="O33" s="1393"/>
      <c r="P33" s="1394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7"/>
      <c r="C34" s="1215"/>
      <c r="D34" s="728"/>
      <c r="E34" s="1216"/>
      <c r="F34" s="1216"/>
      <c r="G34" s="1216"/>
      <c r="H34" s="1216"/>
      <c r="I34" s="1216"/>
      <c r="J34" s="1216"/>
      <c r="K34" s="1216"/>
      <c r="L34" s="1216"/>
      <c r="M34" s="1216"/>
      <c r="N34" s="1216"/>
      <c r="O34" s="1216"/>
      <c r="P34" s="1217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7"/>
      <c r="C35" s="1404">
        <f>ejercicio</f>
        <v>2020</v>
      </c>
      <c r="D35" s="1406" t="s">
        <v>965</v>
      </c>
      <c r="E35" s="1193" t="str">
        <f>+L13</f>
        <v>Saldo final 31-12</v>
      </c>
      <c r="F35" s="1193" t="s">
        <v>958</v>
      </c>
      <c r="G35" s="1193" t="s">
        <v>959</v>
      </c>
      <c r="H35" s="1193" t="s">
        <v>958</v>
      </c>
      <c r="I35" s="1194" t="s">
        <v>962</v>
      </c>
      <c r="J35" s="1194" t="s">
        <v>963</v>
      </c>
      <c r="K35" s="1238" t="s">
        <v>985</v>
      </c>
      <c r="L35" s="1193" t="s">
        <v>964</v>
      </c>
      <c r="M35" s="1383"/>
      <c r="N35" s="1384"/>
      <c r="O35" s="1384"/>
      <c r="P35" s="1385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7"/>
      <c r="C36" s="1405"/>
      <c r="D36" s="1407"/>
      <c r="E36" s="1195">
        <f>+L14</f>
        <v>2019</v>
      </c>
      <c r="F36" s="1196" t="s">
        <v>251</v>
      </c>
      <c r="G36" s="1196" t="s">
        <v>251</v>
      </c>
      <c r="H36" s="1196" t="s">
        <v>961</v>
      </c>
      <c r="I36" s="1197" t="s">
        <v>960</v>
      </c>
      <c r="J36" s="1198" t="s">
        <v>967</v>
      </c>
      <c r="K36" s="1197" t="s">
        <v>986</v>
      </c>
      <c r="L36" s="1195">
        <f>ejercicio</f>
        <v>2020</v>
      </c>
      <c r="M36" s="1380" t="s">
        <v>987</v>
      </c>
      <c r="N36" s="1381"/>
      <c r="O36" s="1381"/>
      <c r="P36" s="1382"/>
      <c r="Q36" s="729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7"/>
      <c r="C37" s="1199"/>
      <c r="D37" s="1200"/>
      <c r="E37" s="1201"/>
      <c r="F37" s="1201"/>
      <c r="G37" s="1201"/>
      <c r="H37" s="1201"/>
      <c r="I37" s="1201"/>
      <c r="J37" s="1201"/>
      <c r="K37" s="1201"/>
      <c r="L37" s="1201"/>
      <c r="M37" s="1386"/>
      <c r="N37" s="1387"/>
      <c r="O37" s="1387"/>
      <c r="P37" s="1388"/>
      <c r="Q37" s="729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7"/>
      <c r="C38" s="1203" t="s">
        <v>129</v>
      </c>
      <c r="D38" s="1204" t="s">
        <v>250</v>
      </c>
      <c r="E38" s="1205">
        <f aca="true" t="shared" si="5" ref="E38:L38">+E39+E42+E43+E48+E49+E52+E53+E54+E55</f>
        <v>59896.19</v>
      </c>
      <c r="F38" s="1205">
        <f t="shared" si="5"/>
        <v>0</v>
      </c>
      <c r="G38" s="1205">
        <f t="shared" si="5"/>
        <v>0</v>
      </c>
      <c r="H38" s="1205">
        <f t="shared" si="5"/>
        <v>375000</v>
      </c>
      <c r="I38" s="1205">
        <f t="shared" si="5"/>
        <v>0</v>
      </c>
      <c r="J38" s="1205">
        <f t="shared" si="5"/>
        <v>0</v>
      </c>
      <c r="K38" s="1205">
        <f t="shared" si="5"/>
        <v>-353373.52</v>
      </c>
      <c r="L38" s="1205">
        <f t="shared" si="5"/>
        <v>81522.66999999998</v>
      </c>
      <c r="M38" s="1389"/>
      <c r="N38" s="1390"/>
      <c r="O38" s="1390"/>
      <c r="P38" s="1391"/>
      <c r="Q38" s="729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7"/>
      <c r="C39" s="1206" t="s">
        <v>182</v>
      </c>
      <c r="D39" s="1207" t="s">
        <v>251</v>
      </c>
      <c r="E39" s="1208">
        <f aca="true" t="shared" si="6" ref="E39:L39">SUM(E40:E41)</f>
        <v>60200</v>
      </c>
      <c r="F39" s="1208">
        <f t="shared" si="6"/>
        <v>0</v>
      </c>
      <c r="G39" s="1208">
        <f t="shared" si="6"/>
        <v>0</v>
      </c>
      <c r="H39" s="1208">
        <f t="shared" si="6"/>
        <v>0</v>
      </c>
      <c r="I39" s="1208">
        <f t="shared" si="6"/>
        <v>0</v>
      </c>
      <c r="J39" s="1208">
        <f t="shared" si="6"/>
        <v>0</v>
      </c>
      <c r="K39" s="1208">
        <f t="shared" si="6"/>
        <v>0</v>
      </c>
      <c r="L39" s="1208">
        <f t="shared" si="6"/>
        <v>60200</v>
      </c>
      <c r="M39" s="1392"/>
      <c r="N39" s="1393"/>
      <c r="O39" s="1393"/>
      <c r="P39" s="1394"/>
      <c r="Q39" s="729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7"/>
      <c r="C40" s="1209" t="s">
        <v>81</v>
      </c>
      <c r="D40" s="1210" t="s">
        <v>252</v>
      </c>
      <c r="E40" s="1211">
        <f>+L18</f>
        <v>60200</v>
      </c>
      <c r="F40" s="450"/>
      <c r="G40" s="450"/>
      <c r="H40" s="450"/>
      <c r="I40" s="450"/>
      <c r="J40" s="450"/>
      <c r="K40" s="450"/>
      <c r="L40" s="1211">
        <f>SUM(E40:K40)</f>
        <v>60200</v>
      </c>
      <c r="M40" s="1395"/>
      <c r="N40" s="1396"/>
      <c r="O40" s="1396"/>
      <c r="P40" s="1397"/>
      <c r="Q40" s="729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7"/>
      <c r="C41" s="1212" t="s">
        <v>88</v>
      </c>
      <c r="D41" s="1213" t="s">
        <v>253</v>
      </c>
      <c r="E41" s="1214">
        <f>+L19</f>
        <v>0</v>
      </c>
      <c r="F41" s="451"/>
      <c r="G41" s="451"/>
      <c r="H41" s="451"/>
      <c r="I41" s="451"/>
      <c r="J41" s="451"/>
      <c r="K41" s="451"/>
      <c r="L41" s="1214">
        <f>SUM(E41:K41)</f>
        <v>0</v>
      </c>
      <c r="M41" s="1398"/>
      <c r="N41" s="1399"/>
      <c r="O41" s="1399"/>
      <c r="P41" s="1400"/>
      <c r="Q41" s="729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7"/>
      <c r="C42" s="1206" t="s">
        <v>192</v>
      </c>
      <c r="D42" s="1207" t="s">
        <v>254</v>
      </c>
      <c r="E42" s="1208">
        <f>+L20</f>
        <v>0</v>
      </c>
      <c r="F42" s="452"/>
      <c r="G42" s="452"/>
      <c r="H42" s="452"/>
      <c r="I42" s="452"/>
      <c r="J42" s="452"/>
      <c r="K42" s="452"/>
      <c r="L42" s="1208">
        <f>SUM(E42:K42)</f>
        <v>0</v>
      </c>
      <c r="M42" s="1401"/>
      <c r="N42" s="1402"/>
      <c r="O42" s="1402"/>
      <c r="P42" s="1403"/>
      <c r="Q42" s="729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7"/>
      <c r="C43" s="1206" t="s">
        <v>197</v>
      </c>
      <c r="D43" s="1207" t="s">
        <v>255</v>
      </c>
      <c r="E43" s="1208">
        <f aca="true" t="shared" si="7" ref="E43:L43">SUM(E44:E47)</f>
        <v>179217.88</v>
      </c>
      <c r="F43" s="1208">
        <f t="shared" si="7"/>
        <v>0</v>
      </c>
      <c r="G43" s="1208">
        <f t="shared" si="7"/>
        <v>0</v>
      </c>
      <c r="H43" s="1208">
        <f t="shared" si="7"/>
        <v>0</v>
      </c>
      <c r="I43" s="1208">
        <f t="shared" si="7"/>
        <v>0</v>
      </c>
      <c r="J43" s="1208">
        <f t="shared" si="7"/>
        <v>0</v>
      </c>
      <c r="K43" s="1208">
        <f t="shared" si="7"/>
        <v>0</v>
      </c>
      <c r="L43" s="1208">
        <f t="shared" si="7"/>
        <v>179217.88</v>
      </c>
      <c r="M43" s="1392"/>
      <c r="N43" s="1393"/>
      <c r="O43" s="1393"/>
      <c r="P43" s="1394"/>
      <c r="Q43" s="729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7"/>
      <c r="C44" s="1209" t="s">
        <v>81</v>
      </c>
      <c r="D44" s="1210" t="s">
        <v>256</v>
      </c>
      <c r="E44" s="1211">
        <f>+L22</f>
        <v>12040</v>
      </c>
      <c r="F44" s="450"/>
      <c r="G44" s="450"/>
      <c r="H44" s="450"/>
      <c r="I44" s="450"/>
      <c r="J44" s="450"/>
      <c r="K44" s="450"/>
      <c r="L44" s="1211">
        <f>SUM(E44:K44)</f>
        <v>12040</v>
      </c>
      <c r="M44" s="1395"/>
      <c r="N44" s="1396"/>
      <c r="O44" s="1396"/>
      <c r="P44" s="1397"/>
      <c r="Q44" s="729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7"/>
      <c r="C45" s="1212" t="s">
        <v>88</v>
      </c>
      <c r="D45" s="1213" t="s">
        <v>257</v>
      </c>
      <c r="E45" s="1214">
        <f>+L23</f>
        <v>167177.88</v>
      </c>
      <c r="F45" s="451"/>
      <c r="G45" s="451"/>
      <c r="H45" s="451"/>
      <c r="I45" s="451"/>
      <c r="J45" s="451"/>
      <c r="K45" s="451"/>
      <c r="L45" s="1214">
        <f>SUM(E45:K45)</f>
        <v>167177.88</v>
      </c>
      <c r="M45" s="1398"/>
      <c r="N45" s="1399"/>
      <c r="O45" s="1399"/>
      <c r="P45" s="1400"/>
      <c r="Q45" s="729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7"/>
      <c r="C46" s="1212" t="s">
        <v>90</v>
      </c>
      <c r="D46" s="1213" t="s">
        <v>258</v>
      </c>
      <c r="E46" s="1214">
        <f>+L24</f>
        <v>0</v>
      </c>
      <c r="F46" s="451"/>
      <c r="G46" s="451"/>
      <c r="H46" s="451"/>
      <c r="I46" s="451"/>
      <c r="J46" s="451"/>
      <c r="K46" s="451"/>
      <c r="L46" s="1214">
        <f>SUM(E46:K46)</f>
        <v>0</v>
      </c>
      <c r="M46" s="1398"/>
      <c r="N46" s="1399"/>
      <c r="O46" s="1399"/>
      <c r="P46" s="1400"/>
      <c r="Q46" s="729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7"/>
      <c r="C47" s="1212" t="s">
        <v>92</v>
      </c>
      <c r="D47" s="1213" t="s">
        <v>313</v>
      </c>
      <c r="E47" s="1214">
        <f>+L25</f>
        <v>0</v>
      </c>
      <c r="F47" s="451"/>
      <c r="G47" s="451"/>
      <c r="H47" s="451"/>
      <c r="I47" s="451"/>
      <c r="J47" s="451"/>
      <c r="K47" s="451"/>
      <c r="L47" s="1214">
        <f>SUM(E47:K47)</f>
        <v>0</v>
      </c>
      <c r="M47" s="1398"/>
      <c r="N47" s="1399"/>
      <c r="O47" s="1399"/>
      <c r="P47" s="1400"/>
      <c r="Q47" s="729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7"/>
      <c r="C48" s="1206" t="s">
        <v>201</v>
      </c>
      <c r="D48" s="1207" t="s">
        <v>259</v>
      </c>
      <c r="E48" s="1208">
        <f>+L26</f>
        <v>0</v>
      </c>
      <c r="F48" s="452"/>
      <c r="G48" s="452"/>
      <c r="H48" s="452"/>
      <c r="I48" s="452"/>
      <c r="J48" s="452"/>
      <c r="K48" s="452"/>
      <c r="L48" s="1208">
        <f>SUM(E48:K48)</f>
        <v>0</v>
      </c>
      <c r="M48" s="1401"/>
      <c r="N48" s="1402"/>
      <c r="O48" s="1402"/>
      <c r="P48" s="1403"/>
      <c r="Q48" s="729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7"/>
      <c r="C49" s="1206" t="s">
        <v>209</v>
      </c>
      <c r="D49" s="1207" t="s">
        <v>260</v>
      </c>
      <c r="E49" s="1208">
        <f aca="true" t="shared" si="8" ref="E49:L49">SUM(E50:E51)</f>
        <v>-14610</v>
      </c>
      <c r="F49" s="1208">
        <f t="shared" si="8"/>
        <v>0</v>
      </c>
      <c r="G49" s="1208">
        <f t="shared" si="8"/>
        <v>0</v>
      </c>
      <c r="H49" s="1208">
        <f t="shared" si="8"/>
        <v>0</v>
      </c>
      <c r="I49" s="1208">
        <f t="shared" si="8"/>
        <v>-164911.69</v>
      </c>
      <c r="J49" s="1208">
        <f t="shared" si="8"/>
        <v>0</v>
      </c>
      <c r="K49" s="1208">
        <f t="shared" si="8"/>
        <v>0</v>
      </c>
      <c r="L49" s="1208">
        <f t="shared" si="8"/>
        <v>-179521.69</v>
      </c>
      <c r="M49" s="1392"/>
      <c r="N49" s="1393"/>
      <c r="O49" s="1393"/>
      <c r="P49" s="1394"/>
      <c r="Q49" s="729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7"/>
      <c r="C50" s="1209" t="s">
        <v>81</v>
      </c>
      <c r="D50" s="1210" t="s">
        <v>261</v>
      </c>
      <c r="E50" s="1211">
        <f aca="true" t="shared" si="9" ref="E50:E55">+L28</f>
        <v>0</v>
      </c>
      <c r="F50" s="450"/>
      <c r="G50" s="450"/>
      <c r="H50" s="450"/>
      <c r="I50" s="450"/>
      <c r="J50" s="450"/>
      <c r="K50" s="450"/>
      <c r="L50" s="1211">
        <f aca="true" t="shared" si="10" ref="L50:L55">SUM(E50:K50)</f>
        <v>0</v>
      </c>
      <c r="M50" s="1395"/>
      <c r="N50" s="1396"/>
      <c r="O50" s="1396"/>
      <c r="P50" s="1397"/>
      <c r="Q50" s="729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7"/>
      <c r="C51" s="1212" t="s">
        <v>88</v>
      </c>
      <c r="D51" s="1213" t="s">
        <v>262</v>
      </c>
      <c r="E51" s="1214">
        <f t="shared" si="9"/>
        <v>-14610</v>
      </c>
      <c r="F51" s="451"/>
      <c r="G51" s="451"/>
      <c r="H51" s="451"/>
      <c r="I51" s="451">
        <v>-164911.69</v>
      </c>
      <c r="J51" s="451"/>
      <c r="K51" s="451"/>
      <c r="L51" s="1214">
        <f t="shared" si="10"/>
        <v>-179521.69</v>
      </c>
      <c r="M51" s="1398"/>
      <c r="N51" s="1399"/>
      <c r="O51" s="1399"/>
      <c r="P51" s="1400"/>
      <c r="Q51" s="729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7"/>
      <c r="C52" s="1206" t="s">
        <v>212</v>
      </c>
      <c r="D52" s="1207" t="s">
        <v>263</v>
      </c>
      <c r="E52" s="1208">
        <f t="shared" si="9"/>
        <v>0</v>
      </c>
      <c r="F52" s="452"/>
      <c r="G52" s="452"/>
      <c r="H52" s="452">
        <v>375000</v>
      </c>
      <c r="I52" s="452"/>
      <c r="J52" s="452"/>
      <c r="K52" s="452"/>
      <c r="L52" s="1208">
        <f t="shared" si="10"/>
        <v>375000</v>
      </c>
      <c r="M52" s="1401"/>
      <c r="N52" s="1402"/>
      <c r="O52" s="1402"/>
      <c r="P52" s="1403"/>
      <c r="Q52" s="729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7"/>
      <c r="C53" s="1206" t="s">
        <v>214</v>
      </c>
      <c r="D53" s="1207" t="s">
        <v>264</v>
      </c>
      <c r="E53" s="1208">
        <f t="shared" si="9"/>
        <v>-164911.69</v>
      </c>
      <c r="F53" s="452"/>
      <c r="G53" s="452"/>
      <c r="H53" s="452"/>
      <c r="I53" s="452">
        <v>164911.69</v>
      </c>
      <c r="J53" s="452"/>
      <c r="K53" s="452">
        <v>-353373.52</v>
      </c>
      <c r="L53" s="1208">
        <f t="shared" si="10"/>
        <v>-353373.52</v>
      </c>
      <c r="M53" s="1392"/>
      <c r="N53" s="1393"/>
      <c r="O53" s="1393"/>
      <c r="P53" s="1394"/>
      <c r="Q53" s="729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7"/>
      <c r="C54" s="1206" t="s">
        <v>265</v>
      </c>
      <c r="D54" s="1207" t="s">
        <v>266</v>
      </c>
      <c r="E54" s="1208">
        <f t="shared" si="9"/>
        <v>0</v>
      </c>
      <c r="F54" s="452"/>
      <c r="G54" s="452"/>
      <c r="H54" s="452"/>
      <c r="I54" s="452"/>
      <c r="J54" s="452"/>
      <c r="K54" s="452"/>
      <c r="L54" s="1208">
        <f t="shared" si="10"/>
        <v>0</v>
      </c>
      <c r="M54" s="1392"/>
      <c r="N54" s="1393"/>
      <c r="O54" s="1393"/>
      <c r="P54" s="1394"/>
      <c r="Q54" s="729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7"/>
      <c r="C55" s="1206" t="s">
        <v>267</v>
      </c>
      <c r="D55" s="1207" t="s">
        <v>268</v>
      </c>
      <c r="E55" s="1208">
        <f t="shared" si="9"/>
        <v>0</v>
      </c>
      <c r="F55" s="452"/>
      <c r="G55" s="452"/>
      <c r="H55" s="452"/>
      <c r="I55" s="452"/>
      <c r="J55" s="452"/>
      <c r="K55" s="452"/>
      <c r="L55" s="1208">
        <f t="shared" si="10"/>
        <v>0</v>
      </c>
      <c r="M55" s="1392"/>
      <c r="N55" s="1393"/>
      <c r="O55" s="1393"/>
      <c r="P55" s="1394"/>
      <c r="Q55" s="729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7"/>
      <c r="C56" s="1215"/>
      <c r="D56" s="728"/>
      <c r="E56" s="1216"/>
      <c r="F56" s="1216"/>
      <c r="G56" s="1216"/>
      <c r="H56" s="1216"/>
      <c r="I56" s="1216"/>
      <c r="J56" s="1216"/>
      <c r="K56" s="1216"/>
      <c r="L56" s="1216"/>
      <c r="M56" s="1216"/>
      <c r="N56" s="1216"/>
      <c r="O56" s="1216"/>
      <c r="P56" s="1217"/>
      <c r="Q56" s="729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7"/>
      <c r="C57" s="1218"/>
      <c r="D57" s="1219"/>
      <c r="E57" s="1220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1"/>
      <c r="Q57" s="729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7"/>
      <c r="C58" s="1351"/>
      <c r="D58" s="1351"/>
      <c r="E58" s="1351"/>
      <c r="F58" s="1351"/>
      <c r="G58" s="1351"/>
      <c r="H58" s="1351"/>
      <c r="I58" s="1351"/>
      <c r="J58" s="1351"/>
      <c r="K58" s="1351"/>
      <c r="L58" s="1351"/>
      <c r="M58" s="1351"/>
      <c r="N58" s="1351"/>
      <c r="O58" s="1351"/>
      <c r="P58" s="758"/>
      <c r="Q58" s="759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R59" s="722" t="s">
        <v>936</v>
      </c>
    </row>
    <row r="60" spans="3:16" ht="12.75">
      <c r="C60" s="760" t="s">
        <v>70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01" t="s">
        <v>966</v>
      </c>
    </row>
    <row r="61" spans="3:16" ht="12.75">
      <c r="C61" s="761" t="s">
        <v>71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12.75">
      <c r="C62" s="761" t="s">
        <v>72</v>
      </c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12.75">
      <c r="C63" s="761" t="s">
        <v>73</v>
      </c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12.75">
      <c r="C64" s="761" t="s">
        <v>74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1222"/>
      <c r="F65" s="1222"/>
      <c r="G65" s="1222"/>
      <c r="H65" s="1222"/>
      <c r="I65" s="1222"/>
      <c r="J65" s="1222"/>
      <c r="K65" s="1222"/>
      <c r="L65" s="1222"/>
      <c r="M65" s="1222"/>
      <c r="N65" s="1222"/>
      <c r="O65" s="1222">
        <f>IF(_CHECK_LIST!K15&gt;0,"Revisa","")</f>
      </c>
      <c r="P65" s="1222">
        <f>IF(_CHECK_LIST!L15&gt;0,"Revisa","")</f>
      </c>
    </row>
    <row r="66" spans="3:16" ht="22.5" customHeight="1"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  <row r="67" spans="3:16" ht="22.5" customHeight="1"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</row>
    <row r="68" spans="3:16" ht="12.75">
      <c r="C68" s="723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</row>
    <row r="69" spans="15:16" ht="12.75">
      <c r="O69" s="723"/>
      <c r="P69" s="723"/>
    </row>
  </sheetData>
  <sheetProtection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rintOptions/>
  <pageMargins left="0.7500000000000001" right="0.7500000000000001" top="1" bottom="1" header="0.5" footer="0.5"/>
  <pageSetup fitToHeight="1" fitToWidth="1" orientation="landscape" paperSize="9" scale="3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2019-12-01T10:20:13Z</cp:lastPrinted>
  <dcterms:created xsi:type="dcterms:W3CDTF">2017-09-18T15:25:23Z</dcterms:created>
  <dcterms:modified xsi:type="dcterms:W3CDTF">2020-03-11T11:11:28Z</dcterms:modified>
  <cp:category/>
  <cp:version/>
  <cp:contentType/>
  <cp:contentStatus/>
</cp:coreProperties>
</file>